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120" windowWidth="11490" windowHeight="1096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Sheet1" sheetId="6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办公案例" sheetId="68" r:id="rId42"/>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 i="69" l="1"/>
  <c r="D29" i="46" l="1"/>
  <c r="D14" i="9"/>
  <c r="C10" i="12"/>
  <c r="V6" i="59" l="1"/>
  <c r="U6" i="59"/>
  <c r="T6" i="59"/>
  <c r="S6" i="59"/>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C25" i="12" l="1"/>
  <c r="F25" i="12"/>
  <c r="C16" i="11" l="1"/>
  <c r="C15" i="11"/>
  <c r="C14" i="11"/>
  <c r="C9" i="11"/>
  <c r="C8"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c r="BA16" i="3"/>
  <c r="BA17" i="3"/>
  <c r="AZ17" i="3"/>
  <c r="F3" i="35"/>
  <c r="K1" i="43"/>
  <c r="K1" i="12"/>
  <c r="G1" i="44"/>
  <c r="I4" i="6"/>
  <c r="G3" i="46" s="1"/>
  <c r="AZ15" i="3"/>
  <c r="BK5" i="3"/>
  <c r="BO5" i="3"/>
  <c r="BP5" i="3"/>
  <c r="G29" i="6" s="1"/>
  <c r="E29" i="6" s="1"/>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6" i="3"/>
  <c r="A9" i="64"/>
  <c r="A9" i="51"/>
  <c r="B9" i="63" s="1"/>
  <c r="A3" i="55"/>
  <c r="B56" i="63"/>
  <c r="E4" i="4"/>
  <c r="C4" i="4"/>
  <c r="G66" i="36"/>
  <c r="J18" i="36"/>
  <c r="AE8" i="1"/>
  <c r="AE7" i="1"/>
  <c r="AE6"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K14" i="1" s="1"/>
  <c r="M14" i="1" s="1"/>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5" i="59"/>
  <c r="C14" i="59"/>
  <c r="T14" i="59"/>
  <c r="B15" i="59"/>
  <c r="B14" i="59"/>
  <c r="S14" i="59"/>
  <c r="D15" i="59"/>
  <c r="V14" i="59"/>
  <c r="D14" i="59"/>
  <c r="E46" i="36"/>
  <c r="F46" i="36" s="1"/>
  <c r="G46" i="36" s="1"/>
  <c r="H46" i="36" s="1"/>
  <c r="C23" i="46"/>
  <c r="C7" i="46"/>
  <c r="D13" i="59"/>
  <c r="D12" i="59"/>
  <c r="S2" i="46"/>
  <c r="S7" i="46"/>
  <c r="S4" i="46"/>
  <c r="N7" i="65"/>
  <c r="F10" i="67"/>
  <c r="F8" i="67"/>
  <c r="B14" i="67"/>
  <c r="M6" i="15"/>
  <c r="E14" i="67"/>
  <c r="M27" i="15"/>
  <c r="F37" i="15"/>
  <c r="F11" i="44"/>
  <c r="I6" i="65"/>
  <c r="F43" i="15"/>
  <c r="M26" i="44"/>
  <c r="M22" i="15"/>
  <c r="J6" i="65"/>
  <c r="J4" i="65"/>
  <c r="J17" i="44"/>
  <c r="N3" i="65"/>
  <c r="B10" i="67"/>
  <c r="M25" i="44"/>
  <c r="E13" i="67"/>
  <c r="L48" i="44"/>
  <c r="J5" i="65"/>
  <c r="F16" i="15"/>
  <c r="F43" i="44"/>
  <c r="M29" i="15"/>
  <c r="J3" i="65"/>
  <c r="M11" i="44"/>
  <c r="F10" i="44"/>
  <c r="M26" i="15"/>
  <c r="F9" i="67"/>
  <c r="I5" i="65"/>
  <c r="M29" i="44"/>
  <c r="J15" i="15"/>
  <c r="F28" i="44"/>
  <c r="B8" i="67"/>
  <c r="F6" i="15"/>
  <c r="F46" i="44"/>
  <c r="E8" i="67"/>
  <c r="B11" i="67"/>
  <c r="F15" i="44"/>
  <c r="F11" i="67"/>
  <c r="F42" i="15"/>
  <c r="F9" i="15"/>
  <c r="E9" i="67"/>
  <c r="F14" i="67"/>
  <c r="F36" i="15"/>
  <c r="J7" i="65"/>
  <c r="F38" i="44"/>
  <c r="F38" i="15"/>
  <c r="F18" i="44"/>
  <c r="M9" i="15"/>
  <c r="F8" i="15"/>
  <c r="I4" i="65"/>
  <c r="M28" i="15"/>
  <c r="B9" i="67"/>
  <c r="F12" i="67"/>
  <c r="J36" i="15"/>
  <c r="F40" i="44"/>
  <c r="M23" i="15"/>
  <c r="E10" i="67"/>
  <c r="E12" i="67"/>
  <c r="N4" i="65"/>
  <c r="F9" i="44"/>
  <c r="M28" i="44"/>
  <c r="B13" i="67"/>
  <c r="M8" i="44"/>
  <c r="L47" i="15"/>
  <c r="M10" i="44"/>
  <c r="F13" i="67"/>
  <c r="F40" i="15"/>
  <c r="N5" i="65"/>
  <c r="F45" i="44"/>
  <c r="M24" i="15"/>
  <c r="F13" i="15"/>
  <c r="F26" i="15"/>
  <c r="F7" i="15"/>
  <c r="M24" i="44"/>
  <c r="F39" i="44"/>
  <c r="B12" i="67"/>
  <c r="I7" i="65"/>
  <c r="I3" i="65"/>
  <c r="M8" i="15"/>
  <c r="L49" i="44"/>
  <c r="N6" i="65"/>
  <c r="M31" i="44"/>
  <c r="F41" i="15"/>
  <c r="M30" i="44"/>
  <c r="E11" i="67"/>
  <c r="L48" i="15"/>
  <c r="F8" i="44"/>
  <c r="A30" i="51" l="1"/>
  <c r="B22" i="63" s="1"/>
  <c r="A30" i="64"/>
  <c r="M20" i="15"/>
  <c r="F36" i="44"/>
  <c r="Q16" i="1"/>
  <c r="F24" i="43" s="1"/>
  <c r="C26" i="43" s="1"/>
  <c r="D24" i="43" s="1"/>
  <c r="K15" i="1"/>
  <c r="E30" i="6"/>
  <c r="N16" i="4"/>
  <c r="K17" i="4" s="1"/>
  <c r="C67" i="40"/>
  <c r="D65" i="40"/>
  <c r="D70" i="39"/>
  <c r="C72" i="39"/>
  <c r="H58" i="46"/>
  <c r="G17" i="46"/>
  <c r="C16" i="46" s="1"/>
  <c r="D5" i="46" s="1"/>
  <c r="C31" i="43"/>
  <c r="F31" i="6"/>
  <c r="Y11" i="46"/>
  <c r="Y13" i="46" s="1"/>
  <c r="G22" i="46"/>
  <c r="F101" i="46"/>
  <c r="M101" i="46"/>
  <c r="M107" i="46" s="1"/>
  <c r="AC11" i="46"/>
  <c r="AC13" i="46" s="1"/>
  <c r="AJ11" i="46"/>
  <c r="AJ13" i="46" s="1"/>
  <c r="C101" i="46"/>
  <c r="J101" i="46"/>
  <c r="N104" i="45"/>
  <c r="F22" i="46"/>
  <c r="Z7" i="46"/>
  <c r="E22" i="46"/>
  <c r="AA11" i="46"/>
  <c r="AA13" i="46" s="1"/>
  <c r="AF11" i="46"/>
  <c r="AF13" i="46" s="1"/>
  <c r="S5" i="46"/>
  <c r="S3" i="46"/>
  <c r="S6" i="46"/>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F104" i="46"/>
  <c r="BL13" i="3"/>
  <c r="L19" i="6"/>
  <c r="L27" i="6" s="1"/>
  <c r="G30" i="6"/>
  <c r="G31"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C21" i="46" s="1"/>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M16" i="1"/>
  <c r="P14" i="1"/>
  <c r="O8" i="1"/>
  <c r="P8" i="1" s="1"/>
  <c r="O6" i="1"/>
  <c r="BL5" i="3"/>
  <c r="AZ13" i="3"/>
  <c r="AZ5" i="3" s="1"/>
  <c r="E14" i="6"/>
  <c r="E13" i="6"/>
  <c r="E10" i="6"/>
  <c r="M105" i="46"/>
  <c r="M102" i="46"/>
  <c r="M106" i="46"/>
  <c r="M109" i="46"/>
  <c r="M103" i="46"/>
  <c r="C5" i="46"/>
  <c r="AP16" i="1"/>
  <c r="F22" i="11" s="1"/>
  <c r="G16" i="1"/>
  <c r="H12" i="39" s="1"/>
  <c r="C18" i="1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Y3" i="59"/>
  <c r="Z3" i="59" s="1"/>
  <c r="D10"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D21" i="12"/>
  <c r="C18" i="44"/>
  <c r="C19" i="44"/>
  <c r="C16" i="15"/>
  <c r="E3" i="65"/>
  <c r="C17" i="15"/>
  <c r="I109" i="46" l="1"/>
  <c r="I106" i="46"/>
  <c r="C21" i="12"/>
  <c r="D67" i="40"/>
  <c r="E65" i="40"/>
  <c r="F7" i="37"/>
  <c r="AA7" i="37" s="1"/>
  <c r="R42" i="37" s="1"/>
  <c r="E70" i="39"/>
  <c r="D72" i="39"/>
  <c r="F58" i="15"/>
  <c r="D8" i="59"/>
  <c r="C7"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J12" i="40"/>
  <c r="AC12" i="40" s="1"/>
  <c r="AB7" i="36"/>
  <c r="T36" i="36" s="1"/>
  <c r="G36" i="36" s="1"/>
  <c r="U7" i="36"/>
  <c r="S7" i="37"/>
  <c r="S7" i="36"/>
  <c r="AA7" i="36"/>
  <c r="R36" i="36" s="1"/>
  <c r="AA7" i="35"/>
  <c r="R38" i="35" s="1"/>
  <c r="S7" i="35"/>
  <c r="AC7" i="35"/>
  <c r="V38" i="35" s="1"/>
  <c r="I38" i="35" s="1"/>
  <c r="W7" i="35"/>
  <c r="E59" i="34"/>
  <c r="E58" i="21"/>
  <c r="E58" i="33"/>
  <c r="AB7" i="37"/>
  <c r="T42" i="37" s="1"/>
  <c r="G42" i="37" s="1"/>
  <c r="U7" i="37"/>
  <c r="W7" i="36"/>
  <c r="AC7" i="36"/>
  <c r="V36" i="36" s="1"/>
  <c r="I36" i="36" s="1"/>
  <c r="U7" i="35"/>
  <c r="AB7" i="35"/>
  <c r="T38" i="35" s="1"/>
  <c r="G38" i="35" s="1"/>
  <c r="F12" i="40"/>
  <c r="S12" i="40" s="1"/>
  <c r="H12" i="40"/>
  <c r="U12" i="40" s="1"/>
  <c r="T9" i="1"/>
  <c r="E6" i="3"/>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C34" i="12" l="1"/>
  <c r="D33" i="12" s="1"/>
  <c r="T11" i="1"/>
  <c r="T13" i="1"/>
  <c r="T7" i="1"/>
  <c r="T10" i="1"/>
  <c r="W7" i="37"/>
  <c r="E72" i="39"/>
  <c r="F70" i="39"/>
  <c r="F65" i="40"/>
  <c r="E67" i="40"/>
  <c r="D7" i="59"/>
  <c r="C6" i="59"/>
  <c r="C5" i="59" s="1"/>
  <c r="D5" i="59" s="1"/>
  <c r="T12" i="1"/>
  <c r="T6" i="1"/>
  <c r="C115" i="46"/>
  <c r="D113" i="46" s="1"/>
  <c r="AA12" i="40"/>
  <c r="W12" i="40"/>
  <c r="AB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P16" i="1"/>
  <c r="W12" i="39"/>
  <c r="I19" i="6"/>
  <c r="M27" i="6"/>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s="1"/>
  <c r="C37" i="46"/>
  <c r="G37" i="46" s="1"/>
  <c r="I37"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4" i="15"/>
  <c r="C16" i="44"/>
  <c r="C13" i="12"/>
  <c r="D16" i="12"/>
  <c r="C15" i="12"/>
  <c r="T6" i="46" l="1"/>
  <c r="V6" i="46" s="1"/>
  <c r="C35" i="46"/>
  <c r="G35" i="46" s="1"/>
  <c r="I35" i="46" s="1"/>
  <c r="T16" i="46"/>
  <c r="V16" i="46" s="1"/>
  <c r="C17" i="12"/>
  <c r="T16" i="1"/>
  <c r="T2" i="46"/>
  <c r="V2" i="46" s="1"/>
  <c r="T5" i="46"/>
  <c r="V5" i="46" s="1"/>
  <c r="C36" i="46"/>
  <c r="G36" i="46" s="1"/>
  <c r="I36" i="46" s="1"/>
  <c r="T12" i="46"/>
  <c r="V12" i="46" s="1"/>
  <c r="T15" i="46"/>
  <c r="V15" i="46" s="1"/>
  <c r="T11" i="46"/>
  <c r="V11" i="46" s="1"/>
  <c r="T13" i="46"/>
  <c r="V13" i="46" s="1"/>
  <c r="T9" i="46"/>
  <c r="V9" i="46" s="1"/>
  <c r="T8" i="46"/>
  <c r="V8" i="46" s="1"/>
  <c r="T3" i="46"/>
  <c r="V3" i="46" s="1"/>
  <c r="T4" i="46"/>
  <c r="V4" i="46" s="1"/>
  <c r="J7" i="21"/>
  <c r="J7" i="33"/>
  <c r="F67" i="40"/>
  <c r="G65" i="40"/>
  <c r="G70" i="39"/>
  <c r="F72" i="39"/>
  <c r="D6" i="59"/>
  <c r="M20" i="46"/>
  <c r="C20" i="44"/>
  <c r="C17" i="44"/>
  <c r="C15" i="15"/>
  <c r="C18" i="15"/>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7" i="46"/>
  <c r="G39" i="46"/>
  <c r="I39" i="46" s="1"/>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F7" i="67"/>
  <c r="D22" i="12"/>
  <c r="E36" i="46" l="1"/>
  <c r="C22" i="12"/>
  <c r="C20" i="12" s="1"/>
  <c r="G33" i="46"/>
  <c r="I33" i="46" s="1"/>
  <c r="H65" i="40"/>
  <c r="G67" i="40"/>
  <c r="F7" i="34"/>
  <c r="H70" i="39"/>
  <c r="G72" i="39"/>
  <c r="C21" i="44"/>
  <c r="C22" i="44" s="1"/>
  <c r="C28" i="44" s="1"/>
  <c r="C19" i="15"/>
  <c r="C20" i="15" s="1"/>
  <c r="E29" i="46"/>
  <c r="C26" i="46" s="1"/>
  <c r="B2" i="46" s="1"/>
  <c r="H7" i="34"/>
  <c r="U7" i="34" s="1"/>
  <c r="C27" i="46"/>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2" i="43"/>
  <c r="C21" i="43" s="1"/>
  <c r="C28" i="43" s="1"/>
  <c r="C30" i="43" s="1"/>
  <c r="C32" i="43" s="1"/>
  <c r="B2" i="43" s="1"/>
  <c r="B4" i="43" s="1"/>
  <c r="D16" i="6"/>
  <c r="D27" i="6"/>
  <c r="D30" i="6"/>
  <c r="R23" i="6"/>
  <c r="R25" i="6"/>
  <c r="R20" i="6"/>
  <c r="D7" i="66"/>
  <c r="D6" i="66"/>
  <c r="D8" i="66"/>
  <c r="R19" i="6"/>
  <c r="H27" i="6"/>
  <c r="R26" i="6"/>
  <c r="A6" i="64"/>
  <c r="A20" i="64"/>
  <c r="A6" i="51"/>
  <c r="B7" i="63" s="1"/>
  <c r="A20" i="51"/>
  <c r="B15" i="63" s="1"/>
  <c r="N5" i="54"/>
  <c r="B43" i="63" s="1"/>
  <c r="R22" i="6"/>
  <c r="R21" i="6"/>
  <c r="E4" i="67"/>
  <c r="D77" i="9"/>
  <c r="N75" i="9" s="1"/>
  <c r="D19" i="9"/>
  <c r="E7" i="67"/>
  <c r="B7" i="67"/>
  <c r="C23" i="12" l="1"/>
  <c r="C35" i="12" s="1"/>
  <c r="C33" i="12" s="1"/>
  <c r="L44" i="9"/>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B3" i="43"/>
  <c r="B5" i="43"/>
  <c r="R27" i="6"/>
  <c r="R6" i="1"/>
  <c r="D31" i="6"/>
  <c r="E3" i="67"/>
  <c r="B2" i="67"/>
  <c r="D4" i="46"/>
  <c r="B3" i="46"/>
  <c r="B4" i="46"/>
  <c r="D20" i="9"/>
  <c r="D21" i="9"/>
  <c r="M21" i="15"/>
  <c r="F35" i="15"/>
  <c r="M23" i="44"/>
  <c r="F37" i="44"/>
  <c r="C28" i="12" l="1"/>
  <c r="C26" i="12" s="1"/>
  <c r="C31" i="12" s="1"/>
  <c r="C30" i="12" s="1"/>
  <c r="C36" i="12" s="1"/>
  <c r="B2" i="12" s="1"/>
  <c r="C38" i="44"/>
  <c r="Q51" i="44"/>
  <c r="J65" i="40"/>
  <c r="I67" i="40"/>
  <c r="I72" i="39"/>
  <c r="J70" i="39"/>
  <c r="C43" i="44"/>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B3" i="12"/>
  <c r="B4" i="12"/>
  <c r="D22" i="9" l="1"/>
  <c r="L43" i="9"/>
  <c r="G19" i="9"/>
  <c r="C32" i="9" s="1"/>
  <c r="C13" i="15"/>
  <c r="C37" i="15" s="1"/>
  <c r="C33" i="15"/>
  <c r="C31" i="15" s="1"/>
  <c r="J15" i="44"/>
  <c r="J25" i="44" s="1"/>
  <c r="N43" i="9"/>
  <c r="J72" i="39"/>
  <c r="K70" i="39"/>
  <c r="J67" i="40"/>
  <c r="K65" i="40"/>
  <c r="J19" i="44"/>
  <c r="J59" i="15"/>
  <c r="J60" i="15" s="1"/>
  <c r="Q49" i="15" s="1"/>
  <c r="C56" i="15"/>
  <c r="J14" i="15"/>
  <c r="J22" i="15" s="1"/>
  <c r="J19" i="15"/>
  <c r="J17" i="15" s="1"/>
  <c r="C36" i="15"/>
  <c r="C33" i="44"/>
  <c r="C32" i="44" s="1"/>
  <c r="C42" i="44" s="1"/>
  <c r="C21" i="9"/>
  <c r="B5" i="12"/>
  <c r="C20" i="9"/>
  <c r="D2" i="69" l="1"/>
  <c r="J35" i="15"/>
  <c r="G21" i="9"/>
  <c r="G20" i="9"/>
  <c r="Q71" i="15"/>
  <c r="C30" i="15"/>
  <c r="C39" i="15" s="1"/>
  <c r="Q70" i="15" s="1"/>
  <c r="G22" i="9"/>
  <c r="C55" i="15"/>
  <c r="C64" i="15" s="1"/>
  <c r="J18" i="44"/>
  <c r="J27" i="44" s="1"/>
  <c r="C42" i="9"/>
  <c r="O43" i="9"/>
  <c r="C35" i="9"/>
  <c r="F42" i="9" s="1"/>
  <c r="O38" i="9"/>
  <c r="C34" i="9"/>
  <c r="C33" i="9"/>
  <c r="L65" i="40"/>
  <c r="K67" i="40"/>
  <c r="K72" i="39"/>
  <c r="L70" i="39"/>
  <c r="C60" i="15"/>
  <c r="C58" i="15" s="1"/>
  <c r="L46" i="15"/>
  <c r="J13" i="15"/>
  <c r="J23" i="15" s="1"/>
  <c r="J16" i="15" s="1"/>
  <c r="J25" i="15" s="1"/>
  <c r="C63" i="15"/>
  <c r="Q71" i="44"/>
  <c r="Q70" i="44" s="1"/>
  <c r="C44" i="44"/>
  <c r="C45" i="44" s="1"/>
  <c r="L52" i="44" s="1"/>
  <c r="C40" i="15"/>
  <c r="Q57" i="15" s="1"/>
  <c r="D3" i="69" l="1"/>
  <c r="D4" i="69"/>
  <c r="Q69" i="15"/>
  <c r="J39" i="15"/>
  <c r="J40" i="15" s="1"/>
  <c r="N38" i="9"/>
  <c r="K28" i="9" s="1"/>
  <c r="D42" i="9"/>
  <c r="Q5" i="54" s="1"/>
  <c r="B47" i="63" s="1"/>
  <c r="K25" i="9"/>
  <c r="K26" i="9"/>
  <c r="M38" i="9"/>
  <c r="K27" i="9" s="1"/>
  <c r="E42" i="9"/>
  <c r="P5" i="54" s="1"/>
  <c r="B46" i="63" s="1"/>
  <c r="R5" i="54"/>
  <c r="B48" i="63" s="1"/>
  <c r="D63" i="9"/>
  <c r="D14" i="66"/>
  <c r="N68" i="9"/>
  <c r="M70" i="39"/>
  <c r="L72" i="39"/>
  <c r="M65" i="40"/>
  <c r="L67" i="40"/>
  <c r="C57" i="15"/>
  <c r="C66" i="15" s="1"/>
  <c r="C67" i="15" s="1"/>
  <c r="C70" i="15" s="1"/>
  <c r="B2" i="44"/>
  <c r="B3" i="44" s="1"/>
  <c r="J42" i="15"/>
  <c r="J43" i="15" s="1"/>
  <c r="B2" i="15"/>
  <c r="B3" i="15" s="1"/>
  <c r="C43" i="15"/>
  <c r="Q66" i="15"/>
  <c r="Q48" i="15"/>
  <c r="Q54" i="15" s="1"/>
  <c r="L58" i="44"/>
  <c r="L61" i="44" s="1"/>
  <c r="Q69" i="44"/>
  <c r="L51" i="15"/>
  <c r="L57" i="15" l="1"/>
  <c r="L60" i="15" s="1"/>
  <c r="Q67" i="15" s="1"/>
  <c r="Q76" i="15" s="1"/>
  <c r="Q68" i="15"/>
  <c r="E14" i="66"/>
  <c r="B5" i="66"/>
  <c r="F14" i="66"/>
  <c r="C111" i="9"/>
  <c r="C104" i="9" s="1"/>
  <c r="C82" i="9"/>
  <c r="C81" i="9" s="1"/>
  <c r="C85" i="9" s="1"/>
  <c r="C86" i="9" s="1"/>
  <c r="D72" i="9" s="1"/>
  <c r="D70" i="9"/>
  <c r="D71" i="9"/>
  <c r="D66" i="9" s="1"/>
  <c r="N72" i="9" s="1"/>
  <c r="C103" i="9"/>
  <c r="C113" i="9" s="1"/>
  <c r="D73" i="9"/>
  <c r="N73" i="9" s="1"/>
  <c r="C96" i="9"/>
  <c r="C91" i="9" s="1"/>
  <c r="C90" i="9"/>
  <c r="C97" i="9" s="1"/>
  <c r="B4" i="44"/>
  <c r="M67" i="40"/>
  <c r="H9" i="40" s="1"/>
  <c r="N65" i="40"/>
  <c r="N67" i="40" s="1"/>
  <c r="F9" i="40" s="1"/>
  <c r="J9" i="40"/>
  <c r="M72" i="39"/>
  <c r="N70" i="39"/>
  <c r="N72" i="39" s="1"/>
  <c r="C46" i="15"/>
  <c r="B5" i="44"/>
  <c r="Q68" i="44"/>
  <c r="Q77" i="44" s="1"/>
  <c r="Q59" i="44"/>
  <c r="Q64" i="44" s="1"/>
  <c r="Q58" i="15" l="1"/>
  <c r="Q63" i="15" s="1"/>
  <c r="C114" i="9"/>
  <c r="E114" i="9" s="1"/>
  <c r="E115" i="9" s="1"/>
  <c r="D5" i="66"/>
  <c r="C5" i="66"/>
  <c r="C98" i="9"/>
  <c r="E98" i="9" s="1"/>
  <c r="E99" i="9" s="1"/>
  <c r="AC9" i="40"/>
  <c r="V44" i="40" s="1"/>
  <c r="I44" i="40" s="1"/>
  <c r="W9" i="40"/>
  <c r="AB9" i="40"/>
  <c r="T44" i="40" s="1"/>
  <c r="G44" i="40" s="1"/>
  <c r="G48" i="40" s="1"/>
  <c r="H48" i="40" s="1"/>
  <c r="U9" i="40"/>
  <c r="F9" i="39"/>
  <c r="H9" i="39"/>
  <c r="J9" i="39"/>
  <c r="S9" i="40"/>
  <c r="AA9" i="40"/>
  <c r="R44" i="40" s="1"/>
  <c r="C99" i="9" l="1"/>
  <c r="C115" i="9"/>
  <c r="D76" i="9" s="1"/>
  <c r="D74" i="9" s="1"/>
  <c r="N74" i="9" s="1"/>
  <c r="O77" i="9" s="1"/>
  <c r="O78" i="9" s="1"/>
  <c r="W9" i="39"/>
  <c r="AC9" i="39"/>
  <c r="V49" i="39" s="1"/>
  <c r="I49" i="39" s="1"/>
  <c r="U9" i="39"/>
  <c r="AB9" i="39"/>
  <c r="T49" i="39" s="1"/>
  <c r="G49" i="39" s="1"/>
  <c r="R45" i="40"/>
  <c r="E44" i="40"/>
  <c r="S9" i="39"/>
  <c r="AA9" i="39"/>
  <c r="R49" i="39" s="1"/>
  <c r="G49" i="40"/>
  <c r="H49" i="40" s="1"/>
  <c r="I49" i="40"/>
  <c r="J49" i="40" s="1"/>
  <c r="I48" i="40"/>
  <c r="J48" i="40" s="1"/>
  <c r="O79" i="9" l="1"/>
  <c r="O80" i="9" s="1"/>
  <c r="Q77" i="9"/>
  <c r="R50" i="39"/>
  <c r="E49" i="39"/>
  <c r="E48" i="40"/>
  <c r="F48" i="40" s="1"/>
  <c r="E49" i="40"/>
  <c r="F49" i="40" s="1"/>
  <c r="G54" i="39"/>
  <c r="H54" i="39" s="1"/>
  <c r="G53" i="39"/>
  <c r="H53" i="39" s="1"/>
  <c r="I53" i="39"/>
  <c r="J53" i="39" s="1"/>
  <c r="I54" i="39"/>
  <c r="J54" i="39" s="1"/>
  <c r="C44" i="40"/>
  <c r="C45" i="40"/>
  <c r="O81" i="9" l="1"/>
  <c r="C50" i="39"/>
  <c r="C49"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B3" i="40" l="1"/>
  <c r="B5" i="40"/>
  <c r="B4" i="40"/>
  <c r="B59" i="39"/>
  <c r="F59" i="39" s="1"/>
  <c r="B66" i="39"/>
  <c r="F66" i="39" s="1"/>
  <c r="B62" i="39"/>
  <c r="F62" i="39" s="1"/>
  <c r="B64" i="39"/>
  <c r="F64" i="39" s="1"/>
  <c r="B60" i="39"/>
  <c r="F60" i="39" s="1"/>
  <c r="F68" i="39"/>
  <c r="B2" i="39" s="1"/>
  <c r="B63" i="39"/>
  <c r="F63" i="39" s="1"/>
  <c r="B67" i="39"/>
  <c r="F67" i="39" s="1"/>
  <c r="B65" i="39"/>
  <c r="F65" i="39" s="1"/>
  <c r="B61" i="39"/>
  <c r="F61" i="39" s="1"/>
  <c r="B58" i="39"/>
  <c r="F58" i="39" s="1"/>
  <c r="B5" i="39" l="1"/>
  <c r="B4" i="39"/>
  <c r="B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<sst xmlns="http://schemas.openxmlformats.org/spreadsheetml/2006/main" count="6844" uniqueCount="3020">
  <si>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</si>
  <si>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</si>
  <si>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</si>
  <si>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</si>
  <si>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</si>
  <si>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</si>
  <si>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</si>
  <si>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</si>
  <si>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</si>
  <si>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</si>
  <si>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</si>
  <si>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</si>
  <si>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</si>
  <si>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</si>
  <si>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</si>
  <si>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</si>
  <si>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</si>
  <si>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</si>
  <si>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</si>
  <si>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</si>
  <si>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</si>
  <si>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</si>
  <si>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</si>
  <si>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</si>
  <si>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</si>
  <si>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</si>
  <si>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</si>
  <si>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</si>
  <si>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</si>
  <si>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</si>
  <si>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</si>
  <si>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</si>
  <si>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</si>
  <si>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</si>
  <si>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</si>
  <si>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</si>
  <si>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</si>
  <si>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</si>
  <si>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</si>
  <si>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</si>
  <si>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</si>
  <si>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</si>
  <si>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</si>
  <si>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</si>
  <si>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</si>
  <si>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</si>
  <si>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</si>
  <si>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</si>
  <si>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</si>
  <si>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</si>
  <si>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</si>
  <si>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</si>
  <si>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</si>
  <si>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</si>
  <si>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</si>
  <si>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</si>
  <si>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</si>
  <si>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</si>
  <si>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</si>
  <si>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</si>
  <si>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</si>
  <si>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</si>
  <si>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</si>
  <si>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</si>
  <si>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</si>
  <si>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</si>
  <si>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</si>
  <si>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</si>
  <si>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</si>
  <si>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</si>
  <si>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</si>
  <si>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</si>
  <si>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</si>
  <si>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</si>
  <si>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</si>
  <si>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</si>
  <si>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</si>
  <si>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</si>
  <si>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</si>
  <si>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</si>
  <si>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</si>
  <si>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</si>
  <si>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</si>
  <si>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</si>
  <si>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</si>
  <si>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</si>
  <si>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</si>
  <si>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</si>
  <si>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</si>
  <si>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</si>
  <si>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</si>
  <si>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</si>
  <si>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</si>
  <si>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</si>
  <si>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</si>
  <si>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</si>
  <si>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</si>
  <si>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</si>
  <si>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</si>
  <si>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</si>
  <si>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</si>
  <si>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</si>
  <si>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</si>
  <si>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</si>
  <si>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</si>
  <si>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</si>
  <si>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</si>
  <si>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</si>
  <si>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</si>
  <si>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</si>
  <si>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</si>
  <si>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</si>
  <si>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</si>
  <si>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</si>
  <si>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</si>
  <si>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</si>
  <si>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</si>
  <si>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</si>
  <si>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</si>
  <si>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</si>
  <si>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</si>
  <si>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</si>
  <si>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</si>
  <si>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</si>
  <si>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</si>
  <si>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</si>
  <si>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</si>
  <si>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</si>
  <si>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</si>
  <si>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</si>
  <si>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</si>
  <si>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</si>
  <si>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</si>
  <si>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</si>
  <si>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</si>
  <si>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</si>
  <si>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</si>
  <si>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</si>
  <si>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</si>
  <si>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</si>
  <si>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</si>
  <si>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</si>
  <si>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</si>
  <si>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</si>
  <si>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</si>
  <si>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</si>
  <si>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</si>
  <si>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</si>
  <si>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</si>
  <si>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</si>
  <si>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</si>
  <si>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</si>
  <si>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</si>
  <si>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</si>
  <si>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</si>
  <si>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</si>
  <si>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</si>
  <si>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</si>
  <si>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</si>
  <si>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</si>
  <si>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</si>
  <si>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</si>
  <si>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</si>
  <si>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</si>
  <si>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</si>
  <si>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</si>
  <si>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</si>
  <si>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</si>
  <si>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</si>
  <si>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</si>
  <si>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</si>
  <si>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</si>
  <si>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</si>
  <si>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</si>
  <si>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</si>
  <si>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</si>
  <si>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</si>
  <si>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</si>
  <si>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</si>
  <si>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</si>
  <si>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</si>
  <si>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</si>
  <si>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</si>
  <si>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</si>
  <si>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</si>
  <si>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</si>
  <si>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</si>
  <si>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</si>
  <si>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</si>
  <si>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</si>
  <si>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</si>
  <si>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</si>
  <si>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</si>
  <si>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</si>
  <si>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</si>
  <si>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</si>
  <si>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</si>
  <si>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</si>
  <si>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</si>
  <si>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</si>
  <si>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</si>
  <si>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</si>
  <si>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</si>
  <si>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</si>
  <si>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</si>
  <si>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</si>
  <si>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</si>
  <si>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</si>
  <si>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</si>
  <si>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</si>
  <si>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</si>
  <si>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</si>
  <si>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</si>
  <si>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</si>
  <si>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</si>
  <si>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</si>
  <si>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</si>
  <si>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</si>
  <si>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</si>
  <si>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</si>
  <si>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</si>
  <si>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</si>
  <si>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</si>
  <si>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</si>
  <si>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</si>
  <si>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</si>
  <si>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</si>
  <si>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</si>
  <si>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</si>
  <si>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</si>
  <si>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</si>
  <si>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</si>
  <si>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</si>
  <si>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</si>
  <si>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</si>
  <si>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</si>
  <si>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</si>
  <si>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</si>
  <si>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</si>
  <si>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</si>
  <si>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</si>
  <si>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</si>
  <si>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</si>
  <si>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</si>
  <si>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</si>
  <si>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</si>
  <si>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</si>
  <si>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</si>
  <si>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</si>
  <si>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</si>
  <si>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</si>
  <si>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</si>
  <si>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</si>
  <si>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</si>
  <si>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</si>
  <si>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</si>
  <si>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</si>
  <si>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</si>
  <si>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</si>
  <si>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</si>
  <si>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</si>
  <si>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</si>
  <si>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</si>
  <si>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</si>
  <si>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</si>
  <si>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</si>
  <si>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</si>
  <si>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</si>
  <si>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</si>
  <si>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</si>
  <si>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</si>
  <si>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</si>
  <si>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</si>
  <si>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</si>
  <si>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</si>
  <si>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</si>
  <si>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</si>
  <si>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</si>
  <si>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</si>
  <si>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</si>
  <si>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</si>
  <si>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</si>
  <si>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</si>
  <si>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</si>
  <si>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</si>
  <si>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</si>
  <si>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</si>
  <si>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</si>
  <si>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</si>
  <si>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</si>
  <si>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</si>
  <si>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</si>
  <si>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</si>
  <si>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</si>
  <si>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</si>
  <si>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</si>
  <si>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</si>
  <si>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</si>
  <si>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</si>
  <si>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</si>
  <si>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</si>
  <si>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</si>
  <si>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</si>
  <si>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</si>
  <si>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</si>
  <si>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</si>
  <si>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</si>
  <si>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</si>
  <si>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</si>
  <si>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</si>
  <si>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</si>
  <si>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</si>
  <si>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</si>
  <si>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</si>
  <si>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</si>
  <si>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</si>
  <si>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</si>
  <si>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</si>
  <si>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</si>
  <si>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</si>
  <si>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</si>
  <si>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</si>
  <si>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</si>
  <si>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</si>
  <si>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</si>
  <si>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</si>
  <si>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</si>
  <si>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</si>
  <si>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</si>
  <si>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</si>
  <si>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</si>
  <si>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</si>
  <si>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</si>
  <si>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</si>
  <si>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</si>
  <si>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</si>
  <si>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</si>
  <si>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</si>
  <si>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</si>
  <si>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</si>
  <si>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</si>
  <si>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</si>
  <si>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</si>
  <si>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</si>
  <si>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</si>
  <si>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</si>
  <si>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</si>
  <si>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</si>
  <si>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</si>
  <si>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</si>
  <si>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</si>
  <si>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</si>
  <si>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</si>
  <si>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</si>
  <si>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</si>
  <si>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</si>
  <si>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</si>
  <si>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</si>
  <si>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</si>
  <si>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</si>
  <si>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</si>
  <si>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</si>
  <si>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</si>
  <si>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</si>
  <si>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</si>
  <si>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</si>
  <si>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</si>
  <si>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</si>
  <si>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</si>
  <si>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</si>
  <si>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</si>
  <si>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</si>
  <si>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</si>
  <si>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</si>
  <si>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</si>
  <si>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</si>
  <si>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</si>
  <si>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</si>
  <si>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</si>
  <si>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</si>
  <si>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</si>
  <si>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</si>
  <si>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</si>
  <si>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</si>
  <si>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</si>
  <si>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</si>
  <si>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</si>
  <si>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</si>
  <si>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</si>
  <si>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</si>
  <si>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</si>
  <si>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</si>
  <si>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</si>
  <si>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</si>
  <si>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</si>
  <si>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</si>
  <si>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</si>
  <si>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</si>
  <si>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</si>
  <si>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</si>
  <si>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</si>
  <si>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</si>
  <si>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</si>
  <si>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</si>
  <si>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</si>
  <si>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</si>
  <si>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</si>
  <si>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</si>
  <si>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</si>
  <si>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</si>
  <si>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</si>
  <si>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</si>
  <si>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</si>
  <si>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</si>
  <si>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</si>
  <si>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</si>
  <si>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</si>
  <si>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</si>
  <si>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</si>
  <si>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</si>
  <si>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</si>
  <si>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</si>
  <si>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</si>
  <si>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</si>
  <si>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</si>
  <si>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</si>
  <si>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</si>
  <si>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</si>
  <si>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</si>
  <si>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</si>
  <si>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</si>
  <si>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</si>
  <si>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</si>
  <si>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</si>
  <si>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</si>
  <si>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</si>
  <si>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</si>
  <si>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</si>
  <si>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</si>
  <si>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</si>
  <si>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</si>
  <si>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</si>
  <si>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</si>
  <si>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</si>
  <si>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</si>
  <si>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</si>
  <si>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</si>
  <si>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</si>
  <si>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</si>
  <si>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</si>
  <si>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</si>
  <si>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</si>
  <si>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</si>
  <si>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</si>
  <si>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</si>
  <si>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</si>
  <si>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</si>
  <si>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</si>
  <si>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</si>
  <si>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</si>
  <si>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</si>
  <si>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</si>
  <si>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</si>
  <si>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</si>
  <si>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</si>
  <si>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</si>
  <si>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</si>
  <si>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</si>
  <si>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</si>
  <si>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</si>
  <si>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</si>
  <si>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</si>
  <si>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</si>
  <si>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</si>
  <si>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</si>
  <si>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</si>
  <si>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</si>
  <si>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</si>
  <si>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</si>
  <si>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</si>
  <si>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</si>
  <si>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</si>
  <si>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</si>
  <si>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</si>
  <si>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</si>
  <si>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</si>
  <si>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</si>
  <si>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</si>
  <si>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</si>
  <si>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</si>
  <si>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</si>
  <si>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</si>
  <si>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</si>
  <si>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</si>
  <si>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</si>
  <si>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</si>
  <si>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</si>
  <si>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</si>
  <si>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</si>
  <si>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</si>
  <si>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</si>
  <si>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</si>
  <si>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</si>
  <si>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</si>
  <si>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</si>
  <si>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</si>
  <si>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</si>
  <si>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</si>
  <si>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</si>
  <si>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</si>
  <si>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</si>
  <si>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</si>
  <si>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</si>
  <si>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</si>
  <si>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</si>
  <si>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</si>
  <si>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</si>
  <si>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</si>
  <si>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</si>
  <si>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</si>
  <si>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</si>
  <si>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</si>
  <si>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</si>
  <si>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</si>
  <si>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</si>
  <si>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</si>
  <si>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</si>
  <si>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</si>
  <si>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</si>
  <si>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</si>
  <si>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</si>
  <si>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</si>
  <si>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</si>
  <si>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</si>
  <si>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</si>
  <si>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</si>
  <si>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</si>
  <si>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</si>
  <si>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</si>
  <si>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</si>
  <si>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</si>
  <si>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</si>
  <si>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</si>
  <si>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</si>
  <si>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</si>
  <si>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</si>
  <si>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</si>
  <si>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</si>
  <si>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</si>
  <si>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</si>
  <si>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</si>
  <si>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</si>
  <si>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</si>
  <si>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</si>
  <si>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</si>
  <si>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</si>
  <si>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</si>
  <si>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</si>
  <si>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</si>
  <si>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</si>
  <si>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</si>
  <si>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</si>
  <si>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</si>
  <si>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</si>
  <si>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</si>
  <si>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</si>
  <si>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</si>
  <si>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</si>
  <si>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</si>
  <si>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</si>
  <si>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</si>
  <si>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</si>
  <si>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</si>
  <si>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</si>
  <si>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</si>
  <si>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</si>
  <si>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</si>
  <si>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</si>
  <si>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</si>
  <si>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</si>
  <si>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</si>
  <si>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</si>
  <si>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</si>
  <si>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</si>
  <si>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</si>
  <si>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</si>
  <si>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</si>
  <si>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</si>
  <si>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</si>
  <si>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</si>
  <si>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</si>
  <si>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</si>
  <si>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</si>
  <si>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</si>
  <si>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</si>
  <si>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</si>
  <si>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</si>
  <si>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</si>
  <si>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</si>
  <si>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</si>
  <si>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</si>
  <si>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</si>
  <si>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</si>
  <si>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</si>
  <si>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</si>
  <si>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</si>
  <si>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</si>
  <si>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</si>
  <si>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</si>
  <si>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</si>
  <si>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</si>
  <si>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</si>
  <si>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</si>
  <si>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</si>
  <si>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</si>
  <si>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</si>
  <si>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</si>
  <si>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</si>
  <si>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</si>
  <si>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</si>
  <si>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</si>
  <si>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</si>
  <si>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</si>
  <si>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</si>
  <si>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</si>
  <si>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</si>
  <si>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</si>
  <si>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</si>
  <si>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</si>
  <si>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</si>
  <si>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</si>
  <si>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</si>
  <si>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</si>
  <si>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</si>
  <si>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</si>
  <si>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</si>
  <si>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</si>
  <si>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</si>
  <si>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</si>
  <si>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</si>
  <si>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</si>
  <si>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</si>
  <si>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</si>
  <si>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</si>
  <si>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</si>
  <si>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</si>
  <si>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</si>
  <si>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</si>
  <si>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</si>
  <si>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</si>
  <si>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</si>
  <si>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</si>
  <si>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</si>
  <si>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</si>
  <si>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</si>
  <si>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</si>
  <si>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</si>
  <si>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</si>
  <si>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</si>
  <si>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</si>
  <si>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</si>
  <si>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</si>
  <si>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</si>
  <si>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</si>
  <si>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</si>
  <si>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</si>
  <si>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</si>
  <si>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</si>
  <si>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</si>
  <si>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</si>
  <si>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</si>
  <si>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</si>
  <si>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</si>
  <si>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</si>
  <si>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</si>
  <si>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</si>
  <si>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</si>
  <si>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</si>
  <si>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</si>
  <si>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</si>
  <si>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</si>
  <si>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</si>
  <si>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</si>
  <si>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</si>
  <si>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</si>
  <si>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</si>
  <si>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</si>
  <si>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</si>
  <si>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</si>
  <si>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</si>
  <si>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</si>
  <si>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</si>
  <si>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</si>
  <si>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</si>
  <si>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</si>
  <si>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</si>
  <si>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</si>
  <si>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</si>
  <si>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</si>
  <si>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</si>
  <si>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</si>
  <si>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</si>
  <si>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</si>
  <si>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</si>
  <si>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</si>
  <si>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</si>
  <si>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</si>
  <si>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</si>
  <si>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</si>
  <si>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</si>
  <si>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</si>
  <si>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</si>
  <si>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</si>
  <si>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</si>
  <si>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</si>
  <si>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</si>
  <si>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</si>
  <si>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</si>
  <si>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</si>
  <si>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</si>
  <si>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</si>
  <si>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</si>
  <si>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</si>
  <si>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</si>
  <si>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</si>
  <si>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</si>
  <si>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</si>
  <si>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</si>
  <si>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</si>
  <si>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</si>
  <si>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</si>
  <si>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</si>
  <si>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</si>
  <si>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</si>
  <si>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</si>
  <si>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</si>
  <si>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</si>
  <si>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</si>
  <si>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</si>
  <si>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</si>
  <si>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</si>
  <si>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</si>
  <si>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</si>
  <si>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</si>
  <si>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</si>
  <si>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</si>
  <si>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</si>
  <si>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</si>
  <si>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</si>
  <si>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</si>
  <si>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</si>
  <si>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</si>
  <si>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</si>
  <si>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</si>
  <si>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</si>
  <si>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</si>
  <si>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</si>
  <si>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</si>
  <si>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</si>
  <si>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</si>
  <si>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</si>
  <si>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</si>
  <si>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</si>
  <si>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</si>
  <si>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</si>
  <si>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</si>
  <si>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</si>
  <si>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</si>
  <si>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</si>
  <si>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</si>
  <si>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</si>
  <si>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</si>
  <si>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</si>
  <si>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</si>
  <si>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</si>
  <si>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</si>
  <si>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</si>
  <si>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</si>
  <si>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</si>
  <si>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</si>
  <si>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</si>
  <si>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</si>
  <si>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</si>
  <si>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</si>
  <si>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</si>
  <si>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</si>
  <si>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</si>
  <si>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</si>
  <si>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</si>
  <si>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</si>
  <si>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</si>
  <si>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</si>
  <si>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</si>
  <si>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</si>
  <si>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</si>
  <si>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</si>
  <si>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</si>
  <si>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</si>
  <si>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</si>
  <si>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</si>
  <si>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</si>
  <si>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</si>
  <si>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</si>
  <si>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</si>
  <si>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</si>
  <si>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</si>
  <si>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</si>
  <si>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</si>
  <si>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</si>
  <si>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</si>
  <si>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</si>
  <si>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</si>
  <si>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</si>
  <si>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</si>
  <si>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</si>
  <si>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</si>
  <si>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</si>
  <si>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</si>
  <si>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</si>
  <si>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</si>
  <si>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</si>
  <si>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</si>
  <si>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</si>
  <si>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</si>
  <si>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</si>
  <si>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</si>
  <si>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</si>
  <si>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</si>
  <si>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</si>
  <si>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</si>
  <si>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</si>
  <si>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</si>
  <si>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</si>
  <si>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</si>
  <si>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</si>
  <si>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</si>
  <si>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</si>
  <si>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</si>
  <si>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</si>
  <si>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</si>
  <si>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</si>
  <si>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</si>
  <si>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</si>
  <si>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</si>
  <si>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</si>
  <si>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</si>
  <si>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</si>
  <si>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</si>
  <si>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</si>
  <si>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</si>
  <si>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</si>
  <si>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</si>
  <si>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</si>
  <si>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</si>
  <si>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</si>
  <si>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</si>
  <si>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</si>
  <si>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</si>
  <si>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</si>
  <si>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</si>
  <si>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</si>
  <si>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</si>
  <si>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</si>
  <si>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</si>
  <si>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</si>
  <si>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</si>
  <si>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</si>
  <si>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</si>
  <si>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</si>
  <si>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</si>
  <si>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</si>
  <si>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</si>
  <si>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</si>
  <si>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</si>
  <si>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</si>
  <si>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</si>
  <si>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</si>
  <si>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</si>
  <si>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</si>
  <si>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</si>
  <si>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</si>
  <si>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</si>
  <si>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</si>
  <si>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</si>
  <si>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</si>
  <si>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</si>
  <si>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</si>
  <si>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</si>
  <si>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</si>
  <si>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</si>
  <si>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</si>
  <si>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</si>
  <si>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</si>
  <si>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</si>
  <si>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</si>
  <si>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</si>
  <si>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</si>
  <si>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</si>
  <si>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</si>
  <si>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</si>
  <si>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</si>
  <si>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</si>
  <si>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</si>
  <si>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</si>
  <si>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</si>
  <si>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</si>
  <si>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</si>
  <si>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</si>
  <si>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</si>
  <si>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</si>
  <si>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</si>
  <si>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</si>
  <si>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</si>
  <si>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</si>
  <si>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</si>
  <si>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</si>
  <si>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</si>
  <si>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</si>
  <si>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</si>
  <si>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</si>
  <si>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</si>
  <si>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</si>
  <si>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</si>
  <si>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</si>
  <si>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</si>
  <si>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</si>
  <si>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</si>
  <si>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</si>
  <si>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</si>
  <si>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</si>
  <si>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</si>
  <si>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</si>
  <si>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</si>
  <si>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</si>
  <si>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</si>
  <si>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</si>
  <si>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</si>
  <si>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</si>
  <si>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</si>
  <si>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</si>
  <si>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</si>
  <si>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</si>
  <si>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</si>
  <si>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</si>
  <si>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</si>
  <si>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</si>
  <si>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</si>
  <si>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</si>
  <si>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</si>
  <si>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</si>
  <si>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</si>
  <si>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</si>
  <si>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</si>
  <si>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</si>
  <si>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</si>
  <si>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</si>
  <si>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</si>
  <si>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</si>
  <si>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</si>
  <si>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</si>
  <si>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</si>
  <si>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</si>
  <si>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</si>
  <si>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</si>
  <si>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</si>
  <si>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</si>
  <si>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</si>
  <si>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</si>
  <si>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</si>
  <si>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</si>
  <si>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</si>
  <si>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</si>
  <si>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</si>
  <si>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</si>
  <si>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</si>
  <si>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</si>
  <si>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</si>
  <si>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</si>
  <si>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</si>
  <si>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</si>
  <si>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</si>
  <si>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</si>
  <si>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</si>
  <si>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</si>
  <si>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</si>
  <si>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</si>
  <si>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</si>
  <si>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</si>
  <si>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</si>
  <si>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</si>
  <si>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</si>
  <si>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</si>
  <si>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</si>
  <si>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</si>
  <si>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</si>
  <si>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</si>
  <si>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</si>
  <si>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</si>
  <si>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</si>
  <si>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</si>
  <si>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</si>
  <si>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</si>
  <si>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</si>
  <si>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</si>
  <si>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</si>
  <si>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</si>
  <si>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</si>
  <si>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</si>
  <si>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</si>
  <si>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</si>
  <si>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</si>
  <si>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</si>
  <si>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</si>
  <si>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</si>
  <si>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</si>
  <si>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</si>
  <si>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</si>
  <si>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</si>
  <si>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</si>
  <si>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</si>
  <si>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</si>
  <si>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</si>
  <si>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</si>
  <si>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</si>
  <si>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</si>
  <si>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</si>
  <si>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</si>
  <si>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</si>
  <si>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</si>
  <si>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</si>
  <si>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</si>
  <si>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</si>
  <si>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</si>
  <si>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</si>
  <si>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</si>
  <si>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</si>
  <si>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</si>
  <si>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</si>
  <si>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</si>
  <si>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</si>
  <si>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</si>
  <si>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</si>
  <si>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</si>
  <si>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</si>
  <si>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</si>
  <si>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</si>
  <si>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</si>
  <si>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</si>
  <si>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</si>
  <si>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</si>
  <si>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</si>
  <si>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</si>
  <si>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</si>
  <si>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</si>
  <si>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</si>
  <si>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</si>
  <si>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</si>
  <si>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</si>
  <si>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</si>
  <si>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</si>
  <si>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</si>
  <si>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</si>
  <si>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</si>
  <si>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</si>
  <si>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</si>
  <si>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</si>
  <si>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</si>
  <si>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</si>
  <si>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</si>
  <si>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</si>
  <si>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</si>
  <si>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</si>
  <si>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</si>
  <si>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</si>
  <si>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</si>
  <si>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</si>
  <si>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</si>
  <si>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</si>
  <si>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</si>
  <si>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</si>
  <si>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</si>
  <si>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</si>
  <si>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</si>
  <si>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</si>
  <si>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</si>
  <si>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</si>
  <si>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</si>
  <si>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</si>
  <si>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</si>
  <si>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</si>
  <si>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</si>
  <si>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</si>
  <si>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</si>
  <si>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</si>
  <si>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</si>
  <si>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</si>
  <si>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</si>
  <si>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</si>
  <si>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</si>
  <si>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</si>
  <si>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</si>
  <si>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</si>
  <si>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</si>
  <si>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</si>
  <si>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</si>
  <si>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</si>
  <si>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</si>
  <si>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</si>
  <si>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</si>
  <si>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</si>
  <si>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</si>
  <si>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</si>
  <si>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</si>
  <si>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</si>
  <si>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</si>
  <si>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</si>
  <si>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</si>
  <si>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</si>
  <si>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</si>
  <si>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</si>
  <si>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</si>
  <si>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</si>
  <si>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</si>
  <si>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</si>
  <si>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</si>
  <si>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</si>
  <si>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</si>
  <si>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</si>
  <si>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</si>
  <si>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</si>
  <si>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</si>
  <si>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</si>
  <si>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</si>
  <si>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</si>
  <si>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</si>
  <si>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</si>
  <si>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</si>
  <si>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</si>
  <si>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</si>
  <si>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</si>
  <si>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</si>
  <si>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</si>
  <si>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</si>
  <si>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</si>
  <si>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</si>
  <si>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</si>
  <si>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</si>
  <si>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</si>
  <si>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</si>
  <si>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</si>
  <si>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</si>
  <si>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</si>
  <si>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</si>
  <si>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</si>
  <si>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</si>
  <si>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</si>
  <si>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</si>
  <si>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</si>
  <si>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</si>
  <si>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</si>
  <si>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</si>
  <si>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</si>
  <si>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</si>
  <si>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</si>
  <si>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</si>
  <si>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</si>
  <si>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</si>
  <si>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</si>
  <si>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</si>
  <si>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</si>
  <si>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</si>
  <si>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</si>
  <si>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</si>
  <si>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</si>
  <si>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</si>
  <si>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</si>
  <si>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</si>
  <si>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</si>
  <si>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</si>
  <si>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</si>
  <si>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</si>
  <si>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</si>
  <si>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</si>
  <si>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</si>
  <si>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</si>
  <si>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</si>
  <si>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</si>
  <si>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</si>
  <si>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</si>
  <si>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</si>
  <si>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</si>
  <si>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</si>
  <si>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</si>
  <si>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</si>
  <si>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</si>
  <si>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</si>
  <si>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</si>
  <si>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</si>
  <si>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</si>
  <si>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</si>
  <si>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</si>
  <si>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</si>
  <si>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</si>
  <si>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</si>
  <si>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</si>
  <si>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</si>
  <si>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</si>
  <si>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</si>
  <si>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</si>
  <si>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</si>
  <si>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</si>
  <si>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</si>
  <si>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</si>
  <si>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</si>
  <si>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</si>
  <si>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</si>
  <si>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</si>
  <si>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</si>
  <si>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</si>
  <si>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</si>
  <si>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</si>
  <si>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</si>
  <si>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</si>
  <si>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</si>
  <si>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</si>
  <si>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</si>
  <si>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</si>
  <si>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</si>
  <si>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</si>
  <si>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</si>
  <si>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</si>
  <si>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</si>
  <si>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</si>
  <si>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</si>
  <si>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</si>
  <si>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</si>
  <si>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</si>
  <si>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</si>
  <si>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</si>
  <si>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</si>
  <si>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</si>
  <si>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</si>
  <si>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</si>
  <si>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</si>
  <si>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</si>
  <si>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</si>
  <si>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</si>
  <si>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</si>
  <si>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</si>
  <si>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</si>
  <si>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</si>
  <si>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</si>
  <si>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</si>
  <si>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</si>
  <si>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</si>
  <si>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</si>
  <si>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</si>
  <si>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</si>
  <si>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</si>
  <si>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</si>
  <si>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</si>
  <si>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</si>
  <si>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</si>
  <si>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</si>
  <si>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</si>
  <si>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</si>
  <si>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</si>
  <si>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</si>
  <si>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</si>
  <si>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</si>
  <si>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</si>
  <si>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</si>
  <si>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</si>
  <si>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</si>
  <si>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</si>
  <si>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</si>
  <si>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</si>
  <si>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</si>
  <si>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</si>
  <si>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</si>
  <si>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</si>
  <si>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</si>
  <si>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</si>
  <si>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</si>
  <si>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</si>
  <si>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</si>
  <si>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</si>
  <si>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</si>
  <si>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</si>
  <si>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</si>
  <si>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</si>
  <si>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</si>
  <si>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</si>
  <si>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</si>
  <si>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</si>
  <si>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</si>
  <si>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</si>
  <si>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</si>
  <si>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</si>
  <si>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</si>
  <si>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</si>
  <si>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</si>
  <si>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</si>
  <si>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</si>
  <si>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</si>
  <si>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</si>
  <si>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</si>
  <si>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</si>
  <si>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</si>
  <si>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</si>
  <si>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</si>
  <si>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</si>
  <si>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</si>
  <si>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</si>
  <si>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</si>
  <si>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</si>
  <si>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</si>
  <si>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</si>
  <si>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</si>
  <si>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</si>
  <si>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</si>
  <si>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</si>
  <si>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</si>
  <si>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</si>
  <si>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</si>
  <si>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</si>
  <si>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</si>
  <si>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</si>
  <si>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</si>
  <si>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</si>
  <si>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</si>
  <si>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</si>
  <si>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</si>
  <si>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</si>
  <si>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</si>
  <si>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</si>
  <si>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</si>
  <si>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</si>
  <si>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</si>
  <si>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</si>
  <si>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</si>
  <si>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</si>
  <si>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</si>
  <si>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</si>
  <si>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</si>
  <si>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</si>
  <si>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</si>
  <si>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</si>
  <si>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</si>
  <si>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</si>
  <si>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</si>
  <si>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</si>
  <si>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</si>
  <si>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</si>
  <si>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</si>
  <si>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</si>
  <si>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</si>
  <si>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</si>
  <si>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</si>
  <si>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</si>
  <si>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</si>
  <si>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</si>
  <si>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</si>
  <si>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</si>
  <si>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</si>
  <si>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</si>
  <si>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</si>
  <si>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</si>
  <si>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</si>
  <si>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</si>
  <si>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</si>
  <si>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</si>
  <si>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</si>
  <si>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</si>
  <si>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</si>
  <si>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</si>
  <si>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</si>
  <si>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</si>
  <si>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</si>
  <si>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</si>
  <si>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</si>
  <si>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</si>
  <si>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</si>
  <si>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</si>
  <si>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</si>
  <si>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</si>
  <si>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</si>
  <si>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</si>
  <si>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</si>
  <si>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</si>
  <si>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</si>
  <si>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</si>
  <si>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</si>
  <si>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</si>
  <si>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</si>
  <si>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</si>
  <si>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</si>
  <si>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</si>
  <si>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</si>
  <si>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</si>
  <si>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</si>
  <si>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</si>
  <si>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</si>
  <si>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</si>
  <si>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</si>
  <si>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</si>
  <si>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</si>
  <si>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</si>
  <si>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</si>
  <si>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</si>
  <si>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</si>
  <si>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</si>
  <si>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</si>
  <si>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</si>
  <si>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</si>
  <si>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</si>
  <si>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</si>
  <si>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</si>
  <si>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</si>
  <si>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</si>
  <si>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</si>
  <si>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</si>
  <si>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</si>
  <si>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</si>
  <si>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</si>
  <si>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</si>
  <si>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</si>
  <si>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</si>
  <si>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</si>
  <si>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</si>
  <si>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</si>
  <si>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</si>
  <si>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</si>
  <si>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</si>
  <si>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</si>
  <si>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</si>
  <si>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</si>
  <si>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</si>
  <si>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</si>
  <si>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</si>
  <si>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</si>
  <si>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</si>
  <si>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</si>
  <si>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</si>
  <si>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</si>
  <si>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</si>
  <si>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</si>
  <si>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</si>
  <si>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</si>
  <si>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</si>
  <si>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</si>
  <si>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</si>
  <si>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</si>
  <si>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</si>
  <si>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</si>
  <si>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</si>
  <si>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</si>
  <si>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</si>
  <si>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</si>
  <si>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</si>
  <si>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</si>
  <si>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</si>
  <si>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</si>
  <si>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</si>
  <si>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</si>
  <si>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</si>
  <si>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</si>
  <si>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</si>
  <si>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</si>
  <si>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</si>
  <si>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</si>
  <si>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</si>
  <si>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</si>
  <si>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</si>
  <si>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</si>
  <si>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</si>
  <si>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</si>
  <si>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</si>
  <si>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</si>
  <si>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</si>
  <si>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</si>
  <si>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</si>
  <si>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</si>
  <si>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</si>
  <si>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</si>
  <si>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</si>
  <si>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</si>
  <si>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</si>
  <si>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</si>
  <si>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</si>
  <si>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</si>
  <si>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</si>
  <si>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</si>
  <si>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</si>
  <si>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</si>
  <si>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</si>
  <si>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</si>
  <si>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</si>
  <si>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</si>
  <si>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</si>
  <si>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</si>
  <si>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</si>
  <si>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</si>
  <si>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</si>
  <si>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</si>
  <si>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</si>
  <si>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</si>
  <si>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</si>
  <si>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</si>
  <si>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</si>
  <si>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</si>
  <si>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</si>
  <si>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</si>
  <si>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</si>
  <si>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</si>
  <si>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</si>
  <si>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</si>
  <si>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</si>
  <si>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</si>
  <si>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</si>
  <si>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</si>
  <si>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</si>
  <si>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</si>
  <si>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</si>
  <si>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</si>
  <si>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</si>
  <si>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</si>
  <si>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</si>
  <si>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</si>
  <si>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</si>
  <si>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</si>
  <si>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</si>
  <si>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</si>
  <si>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</si>
  <si>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</si>
  <si>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</si>
  <si>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</si>
  <si>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</si>
  <si>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</si>
  <si>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</si>
  <si>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</si>
  <si>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</si>
  <si>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</si>
  <si>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</si>
  <si>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</si>
  <si>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</si>
  <si>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</si>
  <si>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</si>
  <si>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</si>
  <si>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</si>
  <si>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</si>
  <si>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</si>
  <si>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</si>
  <si>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</si>
  <si>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</si>
  <si>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</si>
  <si>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</si>
  <si>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</si>
  <si>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</si>
  <si>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</si>
  <si>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</si>
  <si>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</si>
  <si>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</si>
  <si>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</si>
  <si>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</si>
  <si>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</si>
  <si>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</si>
  <si>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</si>
  <si>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</si>
  <si>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</si>
  <si>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</si>
  <si>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</si>
  <si>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</si>
  <si>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</si>
  <si>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</si>
  <si>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</si>
  <si>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</si>
  <si>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</si>
  <si>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</si>
  <si>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</si>
  <si>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</si>
  <si>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</si>
  <si>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</si>
  <si>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</si>
  <si>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</si>
  <si>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</si>
  <si>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</si>
  <si>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</si>
  <si>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</si>
  <si>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</si>
  <si>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</si>
  <si>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</si>
  <si>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</si>
  <si>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</si>
  <si>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</si>
  <si>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</si>
  <si>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</si>
  <si>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</si>
  <si>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</si>
  <si>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</si>
  <si>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</si>
  <si>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</si>
  <si>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</si>
  <si>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</si>
  <si>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</si>
  <si>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</si>
  <si>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</si>
  <si>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</si>
  <si>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</si>
  <si>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</si>
  <si>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</si>
  <si>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</si>
  <si>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</si>
  <si>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</si>
  <si>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</si>
  <si>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</si>
  <si>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</si>
  <si>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</si>
  <si>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</si>
  <si>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</si>
  <si>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</si>
  <si>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</si>
  <si>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</si>
  <si>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</si>
  <si>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</si>
  <si>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</si>
  <si>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</si>
  <si>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</si>
  <si>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</si>
  <si>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</si>
  <si>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</si>
  <si>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</si>
  <si>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</si>
  <si>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</si>
  <si>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</si>
  <si>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</si>
  <si>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</si>
  <si>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</si>
  <si>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</si>
  <si>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</si>
  <si>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</si>
  <si>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</si>
  <si>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</si>
  <si>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</si>
  <si>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</si>
  <si>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</si>
  <si>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</si>
  <si>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</si>
  <si>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</si>
  <si>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</si>
  <si>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</si>
  <si>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</si>
  <si>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</si>
  <si>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</si>
  <si>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</si>
  <si>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</si>
  <si>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</si>
  <si>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</si>
  <si>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</si>
  <si>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</si>
  <si>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</si>
  <si>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</si>
  <si>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</si>
  <si>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</si>
  <si>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</si>
  <si>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</si>
  <si>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</si>
  <si>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</si>
  <si>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</si>
  <si>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</si>
  <si>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</si>
  <si>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</si>
  <si>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</si>
  <si>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</si>
  <si>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</si>
  <si>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</si>
  <si>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</si>
  <si>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</si>
  <si>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</si>
  <si>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</si>
  <si>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</si>
  <si>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</si>
  <si>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</si>
  <si>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</si>
  <si>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</si>
  <si>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</si>
  <si>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</si>
  <si>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</si>
  <si>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</si>
  <si>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</si>
  <si>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</si>
  <si>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</si>
  <si>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</si>
  <si>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</si>
  <si>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</si>
  <si>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</si>
  <si>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</si>
  <si>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</si>
  <si>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</si>
  <si>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</si>
  <si>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</si>
  <si>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</si>
  <si>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</si>
  <si>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</si>
  <si>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</si>
  <si>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</si>
  <si>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</si>
  <si>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</si>
  <si>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</si>
  <si>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</si>
  <si>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</si>
  <si>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</si>
  <si>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</si>
  <si>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</si>
  <si>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</si>
  <si>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</si>
  <si>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</si>
  <si>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</si>
  <si>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</si>
  <si>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</si>
  <si>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</si>
  <si>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</si>
  <si>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</si>
  <si>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</si>
  <si>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</si>
  <si>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</si>
  <si>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</si>
  <si>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</si>
  <si>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</si>
  <si>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</si>
  <si>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</si>
  <si>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</si>
  <si>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</si>
  <si>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</si>
  <si>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</si>
  <si>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</si>
  <si>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</si>
  <si>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</si>
  <si>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</si>
  <si>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</si>
  <si>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</si>
  <si>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</si>
  <si>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</si>
  <si>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</si>
  <si>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</si>
  <si>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</si>
  <si>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</si>
  <si>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</si>
  <si>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</si>
  <si>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</si>
  <si>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</si>
  <si>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</si>
  <si>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</si>
  <si>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</si>
  <si>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</si>
  <si>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</si>
  <si>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</si>
  <si>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</si>
  <si>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</si>
  <si>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</si>
  <si>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</si>
  <si>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</si>
  <si>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</si>
  <si>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</si>
  <si>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</si>
  <si>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</si>
  <si>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</si>
  <si>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</si>
  <si>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</si>
  <si>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</si>
  <si>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</si>
  <si>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</si>
  <si>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</si>
  <si>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</si>
  <si>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</si>
  <si>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</si>
  <si>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</si>
  <si>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</si>
  <si>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</si>
  <si>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</si>
  <si>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</si>
  <si>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</si>
  <si>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</si>
  <si>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</si>
  <si>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</si>
  <si>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</si>
  <si>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</si>
  <si>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</si>
  <si>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</si>
  <si>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</si>
  <si>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</si>
  <si>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</si>
  <si>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</si>
  <si>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</si>
  <si>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</si>
  <si>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</si>
  <si>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</si>
  <si>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</si>
  <si>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</si>
  <si>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</si>
  <si>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</si>
  <si>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</si>
  <si>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</si>
  <si>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</si>
  <si>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</si>
  <si>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</si>
  <si>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</si>
  <si>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</si>
  <si>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</si>
  <si>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</si>
  <si>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</si>
  <si>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</si>
  <si>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</si>
  <si>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</si>
  <si>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</si>
  <si>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</si>
  <si>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</si>
  <si>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</si>
  <si>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</si>
  <si>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</si>
  <si>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</si>
  <si>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</si>
  <si>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</si>
  <si>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</si>
  <si>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</si>
  <si>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</si>
  <si>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</si>
  <si>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</si>
  <si>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</si>
  <si>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</si>
  <si>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</si>
  <si>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</si>
  <si>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</si>
  <si>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</si>
  <si>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</si>
  <si>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</si>
  <si>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</si>
  <si>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</si>
  <si>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</si>
  <si>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</si>
  <si>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</si>
  <si>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</si>
  <si>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</si>
  <si>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</si>
  <si>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</si>
  <si>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</si>
  <si>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</si>
  <si>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</si>
  <si>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</si>
  <si>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</si>
  <si>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</si>
  <si>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</si>
  <si>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</si>
  <si>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</si>
  <si>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</si>
  <si>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</si>
  <si>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</si>
  <si>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</si>
  <si>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</si>
  <si>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</si>
  <si>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</si>
  <si>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</si>
  <si>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</si>
  <si>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</si>
  <si>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</si>
  <si>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</si>
  <si>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</si>
  <si>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</si>
  <si>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</si>
  <si>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</si>
  <si>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</si>
  <si>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</si>
  <si>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</si>
  <si>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</si>
  <si>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</si>
  <si>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</si>
  <si>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</si>
  <si>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</si>
  <si>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</si>
  <si>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</si>
  <si>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</si>
  <si>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</si>
  <si>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</si>
  <si>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</si>
  <si>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</si>
  <si>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</si>
  <si>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</si>
  <si>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</si>
  <si>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</si>
  <si>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</si>
  <si>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</si>
  <si>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</si>
  <si>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</si>
  <si>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</si>
  <si>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</si>
  <si>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</si>
  <si>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</si>
  <si>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</si>
  <si>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</si>
  <si>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</si>
  <si>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</si>
  <si>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</si>
  <si>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</si>
  <si>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</si>
  <si>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</si>
  <si>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</si>
  <si>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</si>
  <si>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</si>
  <si>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</si>
  <si>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</si>
  <si>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</si>
  <si>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</si>
  <si>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</si>
  <si>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</si>
  <si>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</si>
  <si>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</si>
  <si>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</si>
  <si>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</si>
  <si>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</si>
  <si>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</si>
  <si>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</si>
  <si>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</si>
  <si>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</si>
  <si>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</si>
  <si>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</si>
  <si>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</si>
  <si>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</si>
  <si>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</si>
  <si>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</si>
  <si>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</si>
  <si>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</si>
  <si>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</si>
  <si>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</si>
  <si>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</si>
  <si>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</si>
  <si>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</si>
  <si>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</si>
  <si>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</si>
  <si>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</si>
  <si>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</si>
  <si>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</si>
  <si>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</si>
  <si>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</si>
  <si>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</si>
  <si>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</si>
  <si>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</si>
  <si>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</si>
  <si>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</si>
  <si>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</si>
  <si>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</si>
  <si>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</si>
  <si>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</si>
  <si>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</si>
  <si>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</si>
  <si>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</si>
  <si>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</si>
  <si>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</si>
  <si>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</si>
  <si>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</si>
  <si>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</si>
  <si>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</si>
  <si>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</si>
  <si>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</si>
  <si>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</si>
  <si>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</si>
  <si>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</si>
  <si>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</si>
  <si>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</si>
  <si>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</si>
  <si>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</si>
  <si>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</si>
  <si>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</si>
  <si>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</si>
  <si>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</si>
  <si>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</si>
  <si>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</si>
  <si>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</si>
  <si>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</si>
  <si>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</si>
  <si>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</si>
  <si>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</si>
  <si>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</si>
  <si>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</si>
  <si>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</si>
  <si>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</si>
  <si>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</si>
  <si>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</si>
  <si>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</si>
  <si>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</si>
  <si>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</si>
  <si>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</si>
  <si>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</si>
  <si>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</si>
  <si>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</si>
  <si>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</si>
  <si>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</si>
  <si>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</si>
  <si>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</si>
  <si>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</si>
  <si>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</si>
  <si>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</si>
  <si>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</si>
  <si>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</si>
  <si>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</si>
  <si>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</si>
  <si>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</si>
  <si>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</si>
  <si>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</si>
  <si>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</si>
  <si>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</si>
  <si>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</si>
  <si>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</si>
  <si>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</si>
  <si>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</si>
  <si>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</si>
  <si>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</si>
  <si>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</si>
  <si>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</si>
  <si>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</si>
  <si>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</si>
  <si>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</si>
  <si>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</si>
  <si>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</si>
  <si>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</si>
  <si>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</si>
  <si>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</si>
  <si>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</si>
  <si>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</si>
  <si>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</si>
  <si>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</si>
  <si>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</si>
  <si>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</si>
  <si>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</si>
  <si>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</si>
  <si>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</si>
  <si>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</si>
  <si>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</si>
  <si>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</si>
  <si>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</si>
  <si>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</si>
  <si>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</si>
  <si>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</si>
  <si>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</si>
  <si>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</si>
  <si>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</si>
  <si>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</si>
  <si>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</si>
  <si>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</si>
  <si>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</si>
  <si>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</si>
  <si>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</si>
  <si>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</si>
  <si>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</si>
  <si>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</si>
  <si>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</si>
  <si>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</si>
  <si>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</si>
  <si>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</si>
  <si>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</si>
  <si>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</si>
  <si>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</si>
  <si>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</si>
  <si>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</si>
  <si>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</si>
  <si>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</si>
  <si>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</si>
  <si>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</si>
  <si>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</si>
  <si>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</si>
  <si>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</si>
  <si>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</si>
  <si>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</si>
  <si>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</si>
  <si>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</si>
  <si>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</si>
  <si>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</si>
  <si>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</si>
  <si>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</si>
  <si>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</si>
  <si>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</si>
  <si>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</si>
  <si>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</si>
  <si>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</si>
  <si>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</si>
  <si>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</si>
  <si>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</si>
  <si>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</si>
  <si>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</si>
  <si>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</si>
  <si>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</si>
  <si>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</si>
  <si>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</si>
  <si>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</si>
  <si>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</si>
  <si>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</si>
  <si>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</si>
  <si>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</si>
  <si>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</si>
  <si>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</si>
  <si>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</si>
  <si>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</si>
  <si>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</si>
  <si>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</si>
  <si>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</si>
  <si>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</si>
  <si>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</si>
  <si>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</si>
  <si>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</si>
  <si>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</si>
  <si>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</si>
  <si>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</si>
  <si>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</si>
  <si>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</si>
  <si>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</si>
  <si>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</si>
  <si>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</si>
  <si>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</si>
  <si>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</si>
  <si>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</si>
  <si>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</si>
  <si>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</si>
  <si>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</si>
  <si>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</si>
  <si>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</si>
  <si>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</si>
  <si>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</si>
  <si>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</si>
  <si>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</si>
  <si>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</si>
  <si>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</si>
  <si>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</si>
  <si>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</si>
  <si>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</si>
  <si>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</si>
  <si>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</si>
  <si>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</si>
  <si>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</si>
  <si>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</si>
  <si>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</si>
  <si>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</si>
  <si>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</si>
  <si>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</si>
  <si>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</si>
  <si>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</si>
  <si>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</si>
  <si>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</si>
  <si>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</si>
  <si>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</si>
  <si>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</si>
  <si>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</si>
  <si>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</si>
  <si>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</si>
  <si>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</si>
  <si>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</si>
  <si>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</si>
  <si>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</si>
  <si>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</si>
  <si>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</si>
  <si>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</si>
  <si>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</si>
  <si>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</si>
  <si>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</si>
  <si>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</si>
  <si>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</si>
  <si>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</si>
  <si>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</si>
  <si>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</si>
  <si>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</si>
  <si>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</si>
  <si>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</si>
  <si>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</si>
  <si>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</si>
  <si>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</si>
  <si>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</si>
  <si>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</si>
  <si>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</si>
  <si>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</si>
  <si>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</si>
  <si>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</si>
  <si>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</si>
  <si>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</si>
  <si>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</si>
  <si>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</si>
  <si>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</si>
  <si>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</si>
  <si>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</si>
  <si>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</si>
  <si>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</si>
  <si>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</si>
  <si>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</si>
  <si>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</si>
  <si>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</si>
  <si>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</si>
  <si>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</si>
  <si>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</si>
  <si>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</si>
  <si>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</si>
  <si>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</si>
  <si>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</si>
  <si>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</si>
  <si>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</si>
  <si>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</si>
  <si>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</si>
  <si>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</si>
  <si>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</si>
  <si>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</si>
  <si>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</si>
  <si>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</si>
  <si>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</si>
  <si>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</si>
  <si>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</si>
  <si>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</si>
  <si>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</si>
  <si>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</si>
  <si>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</si>
  <si>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</si>
  <si>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</si>
  <si>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</si>
  <si>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</si>
  <si>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</si>
  <si>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</si>
  <si>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</si>
  <si>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</si>
  <si>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</si>
  <si>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</si>
  <si>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</si>
  <si>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</si>
  <si>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</si>
  <si>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</si>
  <si>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</si>
  <si>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</si>
  <si>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</si>
  <si>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</si>
  <si>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</si>
  <si>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</si>
  <si>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</si>
  <si>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</si>
  <si>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</si>
  <si>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</si>
  <si>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</si>
  <si>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</si>
  <si>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</si>
  <si>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</si>
  <si>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</si>
  <si>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</si>
  <si>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</si>
  <si>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</si>
  <si>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</si>
  <si>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</si>
  <si>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</si>
  <si>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</si>
  <si>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</si>
  <si>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</si>
  <si>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</si>
  <si>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</si>
  <si>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</si>
  <si>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</si>
  <si>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</si>
  <si>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</si>
  <si>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</si>
  <si>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</si>
  <si>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</si>
  <si>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</si>
  <si>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</si>
  <si>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</si>
  <si>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</si>
  <si>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</si>
  <si>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</si>
  <si>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</si>
  <si>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</si>
  <si>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</si>
  <si>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</si>
  <si>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</si>
  <si>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</si>
  <si>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</si>
  <si>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</si>
  <si>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</si>
  <si>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</si>
  <si>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</si>
  <si>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</si>
  <si>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</si>
  <si>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</si>
  <si>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</si>
  <si>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</si>
  <si>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</si>
  <si>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</si>
  <si>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</si>
  <si>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</si>
  <si>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</si>
  <si>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</si>
  <si>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</si>
  <si>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</si>
  <si>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</si>
  <si>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</si>
  <si>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</si>
  <si>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</si>
  <si>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</si>
  <si>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</si>
  <si>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</si>
  <si>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</si>
  <si>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</si>
  <si>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</si>
  <si>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</si>
  <si>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</si>
  <si>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</si>
  <si>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</si>
  <si>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</si>
  <si>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</si>
  <si>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</si>
  <si>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</si>
  <si>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</si>
  <si>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</si>
  <si>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</si>
  <si>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</si>
  <si>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</si>
  <si>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</si>
  <si>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</si>
  <si>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</si>
  <si>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</si>
  <si>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</si>
  <si>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</si>
  <si>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</si>
  <si>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</si>
  <si>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</si>
  <si>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</si>
  <si>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</si>
  <si>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</si>
  <si>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</si>
  <si>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</si>
  <si>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</si>
  <si>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</si>
  <si>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</si>
  <si>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</si>
  <si>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</si>
  <si>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</si>
  <si>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</si>
  <si>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</si>
  <si>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</si>
  <si>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</si>
  <si>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</si>
  <si>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</si>
  <si>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</si>
  <si>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</si>
  <si>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</si>
  <si>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</si>
  <si>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</si>
  <si>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</si>
  <si>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</si>
  <si>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</si>
  <si>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</si>
  <si>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</si>
  <si>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</si>
  <si>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</si>
  <si>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</si>
  <si>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</si>
  <si>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</si>
  <si>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</si>
  <si>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</si>
  <si>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</si>
  <si>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</si>
  <si>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</si>
  <si>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</si>
  <si>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</si>
  <si>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</si>
  <si>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</si>
  <si>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</si>
  <si>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</si>
  <si>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</si>
  <si>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</si>
  <si>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</si>
  <si>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</si>
  <si>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</si>
  <si>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</si>
  <si>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</si>
  <si>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</si>
  <si>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</si>
  <si>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</si>
  <si>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</si>
  <si>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</si>
  <si>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</si>
  <si>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</si>
  <si>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</si>
  <si>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</si>
  <si>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</si>
  <si>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</si>
  <si>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</si>
  <si>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</si>
  <si>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</si>
  <si>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</si>
  <si>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</si>
  <si>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</si>
  <si>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</si>
  <si>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</si>
  <si>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</si>
  <si>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</si>
  <si>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</si>
  <si>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</si>
  <si>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</si>
  <si>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</si>
  <si>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</si>
  <si>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</si>
  <si>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</si>
  <si>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</si>
  <si>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</si>
  <si>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</si>
  <si>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</si>
  <si>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</si>
  <si>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</si>
  <si>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</si>
  <si>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</si>
  <si>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</si>
  <si>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</si>
  <si>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</si>
  <si>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</si>
  <si>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</si>
  <si>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</si>
  <si>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</si>
  <si>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</si>
  <si>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</si>
  <si>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</si>
  <si>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</si>
  <si>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</si>
  <si>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</si>
  <si>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</si>
  <si>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</si>
  <si>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</si>
  <si>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</si>
  <si>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</si>
  <si>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</si>
  <si>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</si>
  <si>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</si>
  <si>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</si>
  <si>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</si>
  <si>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</si>
  <si>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</si>
  <si>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</si>
  <si>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</si>
  <si>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</si>
  <si>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</si>
  <si>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</si>
  <si>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</si>
  <si>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</si>
  <si>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</si>
  <si>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</si>
  <si>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</si>
  <si>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</si>
  <si>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</si>
  <si>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</si>
  <si>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</si>
  <si>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</si>
  <si>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</si>
  <si>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</si>
  <si>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</si>
  <si>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</si>
  <si>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</si>
  <si>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</si>
  <si>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</si>
  <si>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</si>
  <si>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</si>
  <si>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</si>
  <si>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</si>
  <si>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</si>
  <si>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</si>
  <si>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</si>
  <si>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</si>
  <si>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</si>
  <si>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</si>
  <si>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</si>
  <si>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</si>
  <si>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</si>
  <si>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</si>
  <si>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</si>
  <si>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</si>
  <si>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</si>
  <si>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</si>
  <si>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</si>
  <si>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</si>
  <si>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</si>
  <si>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</si>
  <si>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</si>
  <si>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</si>
  <si>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</si>
  <si>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</si>
  <si>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</si>
  <si>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</si>
  <si>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</si>
  <si>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</si>
  <si>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</si>
  <si>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</si>
  <si>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</si>
  <si>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</si>
  <si>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</si>
  <si>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</si>
  <si>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</si>
  <si>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</si>
  <si>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</si>
  <si>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</si>
  <si>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</si>
  <si>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</si>
  <si>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</si>
  <si>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</si>
  <si>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</si>
  <si>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</si>
  <si>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</si>
  <si>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</si>
  <si>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</si>
  <si>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</si>
  <si>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</si>
  <si>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</si>
  <si>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</si>
  <si>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</si>
  <si>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</si>
  <si>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</si>
  <si>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</si>
  <si>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</si>
  <si>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</si>
  <si>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</si>
  <si>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</si>
  <si>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</si>
  <si>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</si>
  <si>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</si>
  <si>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</si>
  <si>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</si>
  <si>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</si>
  <si>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</si>
  <si>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</si>
  <si>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</si>
  <si>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</si>
  <si>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</si>
  <si>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</si>
  <si>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</si>
  <si>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</si>
  <si>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</si>
  <si>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</si>
  <si>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</si>
  <si>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</si>
  <si>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</si>
  <si>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</si>
  <si>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</si>
  <si>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</si>
  <si>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</si>
  <si>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</si>
  <si>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</si>
  <si>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</si>
  <si>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</si>
  <si>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</si>
  <si>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</si>
  <si>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</si>
  <si>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</si>
  <si>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</si>
  <si>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</si>
  <si>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</si>
  <si>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</si>
  <si>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</si>
  <si>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</si>
  <si>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</si>
  <si>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</si>
  <si>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</si>
  <si>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</si>
  <si>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</si>
  <si>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</si>
  <si>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</si>
  <si>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</si>
  <si>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</si>
  <si>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</si>
  <si>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</si>
  <si>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</si>
  <si>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</si>
  <si>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</si>
  <si>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</si>
  <si>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</si>
  <si>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</si>
  <si>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</si>
  <si>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</si>
  <si>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</si>
  <si>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</si>
  <si>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</si>
  <si>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</si>
  <si>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</si>
  <si>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</si>
  <si>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</si>
  <si>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</si>
  <si>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</si>
  <si>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</si>
  <si>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</si>
  <si>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</si>
  <si>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</si>
  <si>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</si>
  <si>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</si>
  <si>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</si>
  <si>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</si>
  <si>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</si>
  <si>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</si>
  <si>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</si>
  <si>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</si>
  <si>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</si>
  <si>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</si>
  <si>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</si>
  <si>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</si>
  <si>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</si>
  <si>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</si>
  <si>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</si>
  <si>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</si>
  <si>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</si>
  <si>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</si>
  <si>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</si>
  <si>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</si>
  <si>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</si>
  <si>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</si>
  <si>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</si>
  <si>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</si>
  <si>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</si>
  <si>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</si>
  <si>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</si>
  <si>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</si>
  <si>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</si>
  <si>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</si>
  <si>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</si>
  <si>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</si>
  <si>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</si>
  <si>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</si>
  <si>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</si>
  <si>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</si>
  <si>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</si>
  <si>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</si>
  <si>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</si>
  <si>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</si>
  <si>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</si>
  <si>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</si>
  <si>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</si>
  <si>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</si>
  <si>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</si>
  <si>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</si>
  <si>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</si>
  <si>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</si>
  <si>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</si>
  <si>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</si>
  <si>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</si>
  <si>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</si>
  <si>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</si>
  <si>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</si>
  <si>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</si>
  <si>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</si>
  <si>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</si>
  <si>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</si>
  <si>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</si>
  <si>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</si>
  <si>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</si>
  <si>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</si>
  <si>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</si>
  <si>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</si>
  <si>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</si>
  <si>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</si>
  <si>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</si>
  <si>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</si>
  <si>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</si>
  <si>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</si>
  <si>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</si>
  <si>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</si>
  <si>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</si>
  <si>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</si>
  <si>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</si>
  <si>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</si>
  <si>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</si>
  <si>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</si>
  <si>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</si>
  <si>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</si>
  <si>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</si>
  <si>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</si>
  <si>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</si>
  <si>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</si>
  <si>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</si>
  <si>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</si>
  <si>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</si>
  <si>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</si>
  <si>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</si>
  <si>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</si>
  <si>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</si>
  <si>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</si>
  <si>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</si>
  <si>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</si>
  <si>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</si>
  <si>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</si>
  <si>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</si>
  <si>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</si>
  <si>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</si>
  <si>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</si>
  <si>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</si>
  <si>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</si>
  <si>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</si>
  <si>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</si>
  <si>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</si>
  <si>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</si>
  <si>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</si>
  <si>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</si>
  <si>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</si>
  <si>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</si>
  <si>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</si>
  <si>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</si>
  <si>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</si>
  <si>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</si>
  <si>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</si>
  <si>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</si>
  <si>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</si>
  <si>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</si>
  <si>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</si>
  <si>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</si>
  <si>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</si>
  <si>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</si>
  <si>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</si>
  <si>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</si>
  <si>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</si>
  <si>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</si>
  <si>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</si>
  <si>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</si>
  <si>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</si>
  <si>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</si>
  <si>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</si>
  <si>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</si>
  <si>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</si>
  <si>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</si>
  <si>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</si>
  <si>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</si>
  <si>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</si>
  <si>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</si>
  <si>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</si>
  <si>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</si>
  <si>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</si>
  <si>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</si>
  <si>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</si>
  <si>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</si>
  <si>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</si>
  <si>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</si>
  <si>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</si>
  <si>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</si>
  <si>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</si>
  <si>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</si>
  <si>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</si>
  <si>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</si>
  <si>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</si>
  <si>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</si>
  <si>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</si>
  <si>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</si>
  <si>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</si>
  <si>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</si>
  <si>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</si>
  <si>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</si>
  <si>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</si>
  <si>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</si>
  <si>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</si>
  <si>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</si>
  <si>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</si>
  <si>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</si>
  <si>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</si>
  <si>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</si>
  <si>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</si>
  <si>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</si>
  <si>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</si>
  <si>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</si>
  <si>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</si>
  <si>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</si>
  <si>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</si>
  <si>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</si>
  <si>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</si>
  <si>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</si>
  <si>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</si>
  <si>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</si>
  <si>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</si>
  <si>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</si>
  <si>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</si>
  <si>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</si>
  <si>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</si>
  <si>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</si>
  <si>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</si>
  <si>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</si>
  <si>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</si>
  <si>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</si>
  <si>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</si>
  <si>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</si>
  <si>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</si>
  <si>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</si>
  <si>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</si>
  <si>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</si>
  <si>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</si>
  <si>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</si>
  <si>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</si>
  <si>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</si>
  <si>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</si>
  <si>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</si>
  <si>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</si>
  <si>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</si>
  <si>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</si>
  <si>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</si>
  <si>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</si>
  <si>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</si>
  <si>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</si>
  <si>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</si>
  <si>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</si>
  <si>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</si>
  <si>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</si>
  <si>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</si>
  <si>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</si>
  <si>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</si>
  <si>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</si>
  <si>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</si>
  <si>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</si>
  <si>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</si>
  <si>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</si>
  <si>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</si>
  <si>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</si>
  <si>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</si>
  <si>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</si>
  <si>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</si>
  <si>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</si>
  <si>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</si>
  <si>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</si>
  <si>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</si>
  <si>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</si>
  <si>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</si>
  <si>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</si>
  <si>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</si>
  <si>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</si>
  <si>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</si>
  <si>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</si>
  <si>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</si>
  <si>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</si>
  <si>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</si>
  <si>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</si>
  <si>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</si>
  <si>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</si>
  <si>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</si>
  <si>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</si>
  <si>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</si>
  <si>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</si>
  <si>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</si>
  <si>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</si>
  <si>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</si>
  <si>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</si>
  <si>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</si>
  <si>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</si>
  <si>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</si>
  <si>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</si>
  <si>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</si>
  <si>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</si>
  <si>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</si>
  <si>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</si>
  <si>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</si>
  <si>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</si>
  <si>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</si>
  <si>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</si>
  <si>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</si>
  <si>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</si>
  <si>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</si>
  <si>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</si>
  <si>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</si>
  <si>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</si>
  <si>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</si>
  <si>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</si>
  <si>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</si>
  <si>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</si>
  <si>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</si>
  <si>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</si>
  <si>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</si>
  <si>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</si>
  <si>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</si>
  <si>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</si>
  <si>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</si>
  <si>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</si>
  <si>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</si>
  <si>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</si>
  <si>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</si>
  <si>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</si>
  <si>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</si>
  <si>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</si>
  <si>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</si>
  <si>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</si>
  <si>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</si>
  <si>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</si>
  <si>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</si>
  <si>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</si>
  <si>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</si>
  <si>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</si>
  <si>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</si>
  <si>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</si>
  <si>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</si>
  <si>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</si>
  <si>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</si>
  <si>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</si>
  <si>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</si>
  <si>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</si>
  <si>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</si>
  <si>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</si>
  <si>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</si>
  <si>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</si>
  <si>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</si>
  <si>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</si>
  <si>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</si>
  <si>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</si>
  <si>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</si>
  <si>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</si>
  <si>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</si>
  <si>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</si>
  <si>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</si>
  <si>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</si>
  <si>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</si>
  <si>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</si>
  <si>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</si>
  <si>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</si>
  <si>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</si>
  <si>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</si>
  <si>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</si>
  <si>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</si>
  <si>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</si>
  <si>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</si>
  <si>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</si>
  <si>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</si>
  <si>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</si>
  <si>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</si>
  <si>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</si>
  <si>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</si>
  <si>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</si>
  <si>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</si>
  <si>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</si>
  <si>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</si>
  <si>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</si>
  <si>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</si>
  <si>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</si>
  <si>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</si>
  <si>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</si>
  <si>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</si>
  <si>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</si>
  <si>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</si>
  <si>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</si>
  <si>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</si>
  <si>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</si>
  <si>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</si>
  <si>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</si>
  <si>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</si>
  <si>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</si>
  <si>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</si>
  <si>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</si>
  <si>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</si>
  <si>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</si>
  <si>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</si>
  <si>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</si>
  <si>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</si>
  <si>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</si>
  <si>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</si>
  <si>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</si>
  <si>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</si>
  <si>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</si>
  <si>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</si>
  <si>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</si>
  <si>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</si>
  <si>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</si>
  <si>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</si>
  <si>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</si>
  <si>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</si>
  <si>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</si>
  <si>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</si>
  <si>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</si>
  <si>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</si>
  <si>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</si>
  <si>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</si>
  <si>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</si>
  <si>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</si>
  <si>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</si>
  <si>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</si>
  <si>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</si>
  <si>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</si>
  <si>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</si>
  <si>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</si>
  <si>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</si>
  <si>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</si>
  <si>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</si>
  <si>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</si>
  <si>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</si>
  <si>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</si>
  <si>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</si>
  <si>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</si>
  <si>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</si>
  <si>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</si>
  <si>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</si>
  <si>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</si>
  <si>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</si>
  <si>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</si>
  <si>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</si>
  <si>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</si>
  <si>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</si>
  <si>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</si>
  <si>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</si>
  <si>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</si>
  <si>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</si>
  <si>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</si>
  <si>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</si>
  <si>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</si>
  <si>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</si>
  <si>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</si>
  <si>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</si>
  <si>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</si>
  <si>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</si>
  <si>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</si>
  <si>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商业</t>
  </si>
  <si>
    <t>企业</t>
  </si>
  <si>
    <t>地上</t>
  </si>
  <si>
    <t>办公楼</t>
  </si>
  <si>
    <t>办公</t>
    <phoneticPr fontId="7" type="noConversion"/>
  </si>
  <si>
    <t>剩余法-待开发</t>
  </si>
  <si>
    <t>基准地价</t>
  </si>
  <si>
    <t>商务金融用地（办公类）</t>
  </si>
  <si>
    <t>自定义容积率</t>
  </si>
  <si>
    <t>与级别开发程度一致</t>
  </si>
  <si>
    <t>按公示增长率计算</t>
  </si>
  <si>
    <t>容积率修正</t>
  </si>
  <si>
    <t>项目全部</t>
  </si>
  <si>
    <t>https://office.fang.com/shou/3_457148028.html?channel=2,32</t>
  </si>
  <si>
    <t>https://office.fang.com/shou/3_451311857.html?channel=2,32</t>
  </si>
  <si>
    <t>https://office.fang.com/shou/3_451214644.html?channel=2,32</t>
  </si>
  <si>
    <t>容积率</t>
    <phoneticPr fontId="228" type="noConversion"/>
  </si>
  <si>
    <t>剩余法</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</si>
</sst>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71" fillId="16" borderId="5" xfId="0" applyFont="1" applyFill="1" applyBorder="1" applyAlignment="1" applyProtection="1">
      <alignment horizontal="righ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北京市国有建设用地使用权预评估</v>
      </c>
      <c r="AX2" s="2612"/>
      <c r="AZ2" s="2612"/>
      <c r="BA2" s="2613"/>
      <c r="BC2" s="2613"/>
    </row>
    <row r="3" spans="1:55" s="2614" customFormat="1">
      <c r="A3" s="2593" t="s">
        <v>2642</v>
      </c>
      <c r="B3" s="2596">
        <f>'预评函-封皮'!B40</f>
        <v>0</v>
      </c>
    </row>
    <row r="4" spans="1:55" s="2595" customFormat="1">
      <c r="A4" s="2593" t="s">
        <v>2643</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受贵公司委托，我公司对北京市国有建设用地使用权进行了预评估。</v>
      </c>
      <c r="AM6" s="2618"/>
    </row>
    <row r="7" spans="1:55" s="2592" customFormat="1">
      <c r="A7" s="2593" t="s">
        <v>2638</v>
      </c>
      <c r="B7" s="2594" t="str">
        <f>'预评函-1'!A6</f>
        <v>估价对象为使用的、位于北京市国有建设用地使用权。根据《国有土地使用证》[]，估价对象（分摊）国有建设用地使用权面积为0平方米。根据《建设工程规划许可证》[]、《出让合同》[]，估价对象规划建筑面积为9501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本次评估为委托估价方了解标的物之市场价格提供参考依据而评估国有建设用地使用权市场价格。</v>
      </c>
    </row>
    <row r="10" spans="1:55" s="2592" customFormat="1">
      <c r="A10" s="2593" t="s">
        <v>2640</v>
      </c>
      <c r="B10" s="2594" t="str">
        <f>'预评函-1'!A11</f>
        <v>2021年6月24日</v>
      </c>
    </row>
    <row r="11" spans="1:55" s="2592" customFormat="1">
      <c r="A11" s="2593" t="s">
        <v>2646</v>
      </c>
      <c r="B11" s="2594" t="str">
        <f>'预评函-1'!A14</f>
        <v>根据《国有土地使用证》[]，本次评估估价对象证载（地类）用途为。</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根据《国有土地使用证》[]，估价对象（分摊）出让国有建设用地使用权面积为0平方米。根据《建设工程规划许可证》[]、《出让合同》[]，估价对象规划建筑面积为9501平方米。</v>
      </c>
    </row>
    <row r="16" spans="1:55" s="2592" customFormat="1">
      <c r="A16" s="2593" t="s">
        <v>2650</v>
      </c>
      <c r="B16" s="2594" t="str">
        <f>'预评函-1'!A22</f>
        <v>本次估价对象国有建设用地使用权类型为划拨，无土地使用年限限制。</v>
      </c>
    </row>
    <row r="17" spans="1:48" s="2592" customFormat="1">
      <c r="A17" s="2593" t="s">
        <v>2651</v>
      </c>
      <c r="B17" s="2594" t="str">
        <f>'预评函-1'!A23</f>
        <v/>
      </c>
    </row>
    <row r="18" spans="1:48" s="2592" customFormat="1">
      <c r="A18" s="2593" t="s">
        <v>2652</v>
      </c>
      <c r="B18" s="259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2" customFormat="1">
      <c r="A19" s="2593" t="s">
        <v>2653</v>
      </c>
      <c r="B19" s="2594"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2" customFormat="1">
      <c r="A20" s="2593" t="s">
        <v>2654</v>
      </c>
      <c r="B20" s="2594" t="str">
        <f>'预评函-1'!A27</f>
        <v>——</v>
      </c>
    </row>
    <row r="21" spans="1:48" s="2608" customFormat="1" ht="15" thickBot="1">
      <c r="A21" s="2615" t="s">
        <v>2655</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2656</v>
      </c>
      <c r="B22" s="260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23" spans="1:48">
      <c r="A23" s="2593" t="s">
        <v>2657</v>
      </c>
      <c r="B23" s="2594" t="str">
        <f>'预评函-2'!K2</f>
        <v>估价期日：2021年6月24日</v>
      </c>
    </row>
    <row r="24" spans="1:48">
      <c r="A24" s="2593" t="s">
        <v>2658</v>
      </c>
      <c r="B24" s="2594" t="str">
        <f>'预评函-2'!R2</f>
        <v>估价期日的国有建设用地使用权性质：</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f>'预评函-2'!E5</f>
        <v>0</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t="str">
        <f>'预评函-2'!M5</f>
        <v>——</v>
      </c>
    </row>
    <row r="42" spans="1:2">
      <c r="A42" s="2593" t="s">
        <v>2720</v>
      </c>
      <c r="B42" s="2594" t="str">
        <f>'预评函-2'!N3</f>
        <v>（分摊）国有建设用地使用权面积/㎡</v>
      </c>
    </row>
    <row r="43" spans="1:2">
      <c r="A43" s="2593" t="s">
        <v>2702</v>
      </c>
      <c r="B43" s="2594">
        <f>'预评函-2'!N5</f>
        <v>0</v>
      </c>
    </row>
    <row r="44" spans="1:2">
      <c r="A44" s="2593" t="s">
        <v>2721</v>
      </c>
      <c r="B44" s="2594" t="str">
        <f>'预评函-2'!O3</f>
        <v>规划建筑面积/㎡</v>
      </c>
    </row>
    <row r="45" spans="1:2">
      <c r="A45" s="2593" t="s">
        <v>2703</v>
      </c>
      <c r="B45" s="2594">
        <f>'预评函-2'!O5</f>
        <v>9501</v>
      </c>
    </row>
    <row r="46" spans="1:2">
      <c r="A46" s="2593" t="s">
        <v>2704</v>
      </c>
      <c r="B46" s="2594" t="e">
        <f ca="1">'预评函-2'!P5</f>
        <v>#DIV/0!</v>
      </c>
    </row>
    <row r="47" spans="1:2">
      <c r="A47" s="2593" t="s">
        <v>2705</v>
      </c>
      <c r="B47" s="2594">
        <f ca="1">'预评函-2'!Q5</f>
        <v>21985</v>
      </c>
    </row>
    <row r="48" spans="1:2">
      <c r="A48" s="2593" t="s">
        <v>2706</v>
      </c>
      <c r="B48" s="2594">
        <f ca="1">'预评函-2'!R5</f>
        <v>20888</v>
      </c>
    </row>
    <row r="49" spans="1:2">
      <c r="A49" s="2593" t="s">
        <v>2722</v>
      </c>
      <c r="B49" s="2594" t="str">
        <f>'预评函-2'!A6</f>
        <v>抵押价格</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f>'预评函-2'!A8</f>
        <v>0</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土地估价师</v>
      </c>
    </row>
    <row r="70" spans="1:2">
      <c r="A70" s="2593" t="s">
        <v>2671</v>
      </c>
      <c r="B70" s="2600">
        <f>'预评函-3'!B20</f>
        <v>0</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11" sqref="B11"/>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28" t="str">
        <f>IF(B10="北京市","北京市",C10)&amp;F10&amp;B16&amp;"国有建设用地使用权"&amp;B9&amp;"预评估"</f>
        <v>北京市国有建设用地使用权预评估</v>
      </c>
      <c r="C1" s="3329"/>
      <c r="D1" s="3329"/>
      <c r="E1" s="3329"/>
      <c r="F1" s="3329"/>
      <c r="G1" s="3329"/>
      <c r="H1" s="3329"/>
      <c r="I1" s="3330"/>
      <c r="J1" s="3072"/>
      <c r="K1" s="2308" t="str">
        <f>IF(B10="北京市","北京市",C10)&amp;F10&amp;B16&amp;"国有建设用地使用权"&amp;B9</f>
        <v>北京市国有建设用地使用权</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北京市国有建设用地使用权</v>
      </c>
      <c r="L2" s="3051"/>
      <c r="M2" s="3051"/>
      <c r="N2" s="3052"/>
      <c r="O2" s="3053"/>
      <c r="P2" s="3052"/>
      <c r="Q2" s="3052"/>
      <c r="R2" s="3052"/>
      <c r="S2" s="3052"/>
      <c r="T2" s="3052"/>
      <c r="U2" s="3052"/>
    </row>
    <row r="3" spans="1:21">
      <c r="A3" s="1587" t="s">
        <v>1928</v>
      </c>
      <c r="B3" s="1588"/>
      <c r="C3" s="2995" t="s">
        <v>1984</v>
      </c>
      <c r="D3" s="1588">
        <v>44371</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2868</v>
      </c>
      <c r="C4" s="1757">
        <f>SUMIF(土地估价师,B4,估价师及机构信息!E3:E16)</f>
        <v>0</v>
      </c>
      <c r="D4" s="1754" t="s">
        <v>2868</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c r="C8" s="1597"/>
      <c r="D8" s="3334"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c r="C9" s="1600"/>
      <c r="D9" s="3335"/>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c r="G10" s="1660"/>
      <c r="H10" s="1661"/>
      <c r="I10" s="1593"/>
      <c r="J10" s="3072"/>
      <c r="K10" s="3055"/>
      <c r="L10" s="3051"/>
      <c r="M10" s="3051"/>
      <c r="N10" s="3052"/>
      <c r="O10" s="3053"/>
      <c r="P10" s="3052"/>
      <c r="Q10" s="3052"/>
      <c r="R10" s="3052"/>
      <c r="S10" s="3052"/>
      <c r="T10" s="3052"/>
      <c r="U10" s="3052"/>
    </row>
    <row r="11" spans="1:21">
      <c r="A11" s="2999" t="s">
        <v>1989</v>
      </c>
      <c r="B11" s="1618" t="s">
        <v>3003</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31"/>
      <c r="C12" s="3332"/>
      <c r="D12" s="3333"/>
      <c r="E12" s="1619" t="s">
        <v>2050</v>
      </c>
      <c r="F12" s="3349" t="s">
        <v>2869</v>
      </c>
      <c r="G12" s="3350"/>
      <c r="H12" s="3350"/>
      <c r="I12" s="3351"/>
      <c r="J12" s="3072"/>
      <c r="K12" s="3055"/>
      <c r="L12" s="3051"/>
      <c r="M12" s="3051"/>
      <c r="N12" s="3052"/>
      <c r="O12" s="3053"/>
      <c r="P12" s="3052"/>
      <c r="Q12" s="3052"/>
      <c r="R12" s="3052"/>
      <c r="S12" s="3052"/>
      <c r="T12" s="3052"/>
      <c r="U12" s="3052"/>
    </row>
    <row r="13" spans="1:21">
      <c r="A13" s="1610" t="s">
        <v>2048</v>
      </c>
      <c r="B13" s="3331"/>
      <c r="C13" s="3332"/>
      <c r="D13" s="3333"/>
      <c r="E13" s="1619" t="s">
        <v>2050</v>
      </c>
      <c r="F13" s="3349" t="s">
        <v>2870</v>
      </c>
      <c r="G13" s="3350"/>
      <c r="H13" s="3350"/>
      <c r="I13" s="3351"/>
      <c r="J13" s="3072"/>
      <c r="K13" s="3055"/>
      <c r="L13" s="3051"/>
      <c r="M13" s="3051"/>
      <c r="N13" s="3052"/>
      <c r="O13" s="3053"/>
      <c r="P13" s="3052"/>
      <c r="Q13" s="3052"/>
      <c r="R13" s="3052"/>
      <c r="S13" s="3052"/>
      <c r="T13" s="3052"/>
      <c r="U13" s="3052"/>
    </row>
    <row r="14" spans="1:21">
      <c r="A14" s="1587" t="s">
        <v>2051</v>
      </c>
      <c r="B14" s="1619"/>
      <c r="C14" s="1756"/>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c r="C16" s="1619" t="s">
        <v>1937</v>
      </c>
      <c r="D16" s="2486" t="s">
        <v>1938</v>
      </c>
      <c r="E16" s="1641" t="s">
        <v>3002</v>
      </c>
      <c r="F16" s="1641" t="s">
        <v>1668</v>
      </c>
      <c r="G16" s="1641"/>
      <c r="H16" s="1641"/>
      <c r="I16" s="1609" t="s">
        <v>1943</v>
      </c>
      <c r="J16" s="3072"/>
      <c r="K16" s="2309" t="str">
        <f>IF(D17="","",D16&amp;TEXT(D17,"yyyy年m月d日;;"))</f>
        <v/>
      </c>
      <c r="L16" s="1619" t="str">
        <f>IF(OR(K16="",M16=""),"","、")</f>
        <v/>
      </c>
      <c r="M16" s="2309" t="str">
        <f>IF(E17="","",E16&amp;TEXT(E17,"yyyy年m月d日;;"))</f>
        <v>商业2052年1月1日</v>
      </c>
      <c r="N16" s="1619" t="str">
        <f>IF(OR(M16="",O16=""),"","、")</f>
        <v>、</v>
      </c>
      <c r="O16" s="2309" t="str">
        <f>IF(F17="","",F16&amp;TEXT(F17,"yyyy年m月d日;;"))</f>
        <v>办公2062年1月1日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1944</v>
      </c>
      <c r="D17" s="3276"/>
      <c r="E17" s="3276">
        <v>55519</v>
      </c>
      <c r="F17" s="3276">
        <v>59172</v>
      </c>
      <c r="G17" s="3276"/>
      <c r="H17" s="3276"/>
      <c r="I17" s="3276"/>
      <c r="J17" s="3072"/>
      <c r="K17" s="3050" t="str">
        <f>CONCATENATE(K16,L16,M16,N16,O16,P16,Q16,R16,S16,T16,,U16)</f>
        <v>商业2052年1月1日、办公2062年1月1日</v>
      </c>
      <c r="L17" s="3051"/>
      <c r="M17" s="3051"/>
      <c r="N17" s="3052"/>
      <c r="O17" s="3053"/>
      <c r="P17" s="3052"/>
      <c r="Q17" s="3052"/>
      <c r="R17" s="3052"/>
      <c r="S17" s="3052"/>
      <c r="T17" s="3052"/>
      <c r="U17" s="3052"/>
    </row>
    <row r="18" spans="1:21">
      <c r="A18" s="1678"/>
      <c r="B18" s="1606"/>
      <c r="C18" s="3001" t="s">
        <v>1945</v>
      </c>
      <c r="D18" s="1607"/>
      <c r="E18" s="1607">
        <v>40</v>
      </c>
      <c r="F18" s="1607">
        <v>50</v>
      </c>
      <c r="G18" s="1607"/>
      <c r="H18" s="1607"/>
      <c r="I18" s="1607"/>
      <c r="J18" s="3072"/>
      <c r="K18" s="3055"/>
      <c r="L18" s="3051"/>
      <c r="M18" s="3051"/>
      <c r="N18" s="3052"/>
      <c r="O18" s="3053"/>
      <c r="P18" s="3052"/>
      <c r="Q18" s="3052"/>
      <c r="R18" s="3052"/>
      <c r="S18" s="3052"/>
      <c r="T18" s="3052"/>
      <c r="U18" s="3052"/>
    </row>
    <row r="19" spans="1:21">
      <c r="A19" s="1678"/>
      <c r="B19" s="1606"/>
      <c r="C19" s="1586" t="s">
        <v>1946</v>
      </c>
      <c r="D19" s="1673">
        <f>IF(B16="出让",IF(D17="","",ROUNDDOWN(MIN((D17-$D$3)/365,D18),2)),D18)</f>
        <v>0</v>
      </c>
      <c r="E19" s="1608">
        <f>IF(B16="出让",IF(E17="","",ROUNDDOWN(MIN((E17-$D$3)/365,E18),2)),E18)</f>
        <v>40</v>
      </c>
      <c r="F19" s="1608">
        <f>IF(B16="出让",IF(F17="","",ROUNDDOWN(MIN((F17-$D$3)/365,F18),2)),F18)</f>
        <v>50</v>
      </c>
      <c r="G19" s="1608">
        <f>IF(B16="出让",IF(G17="","",ROUNDDOWN(MIN((G17-$D$3)/365,G18),2)),G18)</f>
        <v>0</v>
      </c>
      <c r="H19" s="1608">
        <f>IF(B16="出让",IF(H17="","",ROUNDDOWN(MIN((H17-$D$3)/365,H18),2)),H18)</f>
        <v>0</v>
      </c>
      <c r="I19" s="1608">
        <f>IF(B16="出让",IF(I17="","",ROUNDDOWN(MIN((I17-$D$3)/365,I18),2)),I18)</f>
        <v>0</v>
      </c>
      <c r="J19" s="3072"/>
      <c r="K19" s="3055"/>
      <c r="L19" s="3051"/>
      <c r="M19" s="3051"/>
      <c r="N19" s="3052"/>
      <c r="O19" s="3053"/>
      <c r="P19" s="3052"/>
      <c r="Q19" s="3052"/>
      <c r="R19" s="3052"/>
      <c r="S19" s="3052"/>
      <c r="T19" s="3052"/>
      <c r="U19" s="3052"/>
    </row>
    <row r="20" spans="1:21">
      <c r="A20" s="1698"/>
      <c r="B20" s="1699"/>
      <c r="C20" s="1700" t="s">
        <v>2049</v>
      </c>
      <c r="D20" s="3346"/>
      <c r="E20" s="3347"/>
      <c r="F20" s="3347"/>
      <c r="G20" s="3347"/>
      <c r="H20" s="3347"/>
      <c r="I20" s="3348"/>
      <c r="J20" s="3072"/>
      <c r="K20" s="3055"/>
      <c r="L20" s="3051"/>
      <c r="M20" s="3051"/>
      <c r="N20" s="3052"/>
      <c r="O20" s="3053"/>
      <c r="P20" s="3052"/>
      <c r="Q20" s="3052"/>
      <c r="R20" s="3052"/>
      <c r="S20" s="3052"/>
      <c r="T20" s="3052"/>
      <c r="U20" s="3052"/>
    </row>
    <row r="21" spans="1:21">
      <c r="A21" s="1678" t="s">
        <v>1947</v>
      </c>
      <c r="B21" s="1679" t="s">
        <v>1948</v>
      </c>
      <c r="C21" s="1674">
        <f>'数据-汇总表'!E3</f>
        <v>9501</v>
      </c>
      <c r="D21" s="1675" t="s">
        <v>1949</v>
      </c>
      <c r="E21" s="3336" t="s">
        <v>1987</v>
      </c>
      <c r="F21" s="3337"/>
      <c r="G21" s="3337"/>
      <c r="H21" s="3337"/>
      <c r="I21" s="3338"/>
      <c r="J21" s="3072"/>
      <c r="K21" s="3055"/>
      <c r="L21" s="3051"/>
      <c r="M21" s="3051"/>
      <c r="N21" s="3052"/>
      <c r="O21" s="3053"/>
      <c r="P21" s="3052"/>
      <c r="Q21" s="3052"/>
      <c r="R21" s="3052"/>
      <c r="S21" s="3052"/>
      <c r="T21" s="3052"/>
      <c r="U21" s="3052"/>
    </row>
    <row r="22" spans="1:21">
      <c r="A22" s="2800" t="s">
        <v>943</v>
      </c>
      <c r="B22" s="1587" t="s">
        <v>1950</v>
      </c>
      <c r="C22" s="1609">
        <f>'数据-汇总表'!D3</f>
        <v>0</v>
      </c>
      <c r="D22" s="1610" t="s">
        <v>1949</v>
      </c>
      <c r="E22" s="3336" t="s">
        <v>2871</v>
      </c>
      <c r="F22" s="3337"/>
      <c r="G22" s="3337"/>
      <c r="H22" s="3337"/>
      <c r="I22" s="3338"/>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39" t="s">
        <v>1955</v>
      </c>
      <c r="C24" s="3340"/>
      <c r="D24" s="3341" t="s">
        <v>1956</v>
      </c>
      <c r="E24" s="3342"/>
      <c r="F24" s="1627" t="s">
        <v>1957</v>
      </c>
      <c r="G24" s="3072"/>
      <c r="H24" s="3072"/>
      <c r="I24" s="3076"/>
      <c r="J24" s="3072"/>
      <c r="K24" s="3327"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27"/>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27"/>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13" t="s">
        <v>1990</v>
      </c>
      <c r="B31" s="1679" t="s">
        <v>1991</v>
      </c>
      <c r="C31" s="3352"/>
      <c r="D31" s="3353"/>
      <c r="E31" s="3072"/>
      <c r="F31" s="3072"/>
      <c r="G31" s="3072"/>
      <c r="H31" s="3072"/>
      <c r="I31" s="3076"/>
      <c r="J31" s="3072"/>
      <c r="K31" s="3058"/>
      <c r="L31" s="3052"/>
      <c r="M31" s="3052"/>
      <c r="N31" s="3052"/>
      <c r="O31" s="3052"/>
      <c r="P31" s="3052"/>
      <c r="Q31" s="3052"/>
      <c r="R31" s="3052"/>
      <c r="S31" s="3052"/>
      <c r="T31" s="3052"/>
      <c r="U31" s="3052"/>
    </row>
    <row r="32" spans="1:21">
      <c r="A32" s="3313"/>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13"/>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14"/>
      <c r="B34" s="1587" t="s">
        <v>1994</v>
      </c>
      <c r="C34" s="3315"/>
      <c r="D34" s="3316"/>
      <c r="E34" s="3072"/>
      <c r="F34" s="3072"/>
      <c r="G34" s="3072"/>
      <c r="H34" s="3072"/>
      <c r="I34" s="3076"/>
      <c r="J34" s="3072"/>
      <c r="K34" s="3058"/>
      <c r="L34" s="3052"/>
      <c r="M34" s="3052"/>
      <c r="N34" s="3052"/>
      <c r="O34" s="3052"/>
      <c r="P34" s="3052"/>
      <c r="Q34" s="3052"/>
      <c r="R34" s="3052"/>
      <c r="S34" s="3052"/>
      <c r="T34" s="3052"/>
      <c r="U34" s="3052"/>
    </row>
    <row r="35" spans="1:28">
      <c r="A35" s="3317" t="s">
        <v>839</v>
      </c>
      <c r="B35" s="1641"/>
      <c r="C35" s="1688" t="str">
        <f>IF(B35="场地平整","——","具体情况：")</f>
        <v>具体情况：</v>
      </c>
      <c r="D35" s="3319"/>
      <c r="E35" s="3320"/>
      <c r="F35" s="3320"/>
      <c r="G35" s="3320"/>
      <c r="H35" s="3320"/>
      <c r="I35" s="3321"/>
      <c r="J35" s="3072"/>
      <c r="K35" s="3059"/>
      <c r="L35" s="3051"/>
      <c r="M35" s="3051"/>
      <c r="N35" s="3052"/>
      <c r="O35" s="3053"/>
      <c r="P35" s="3052"/>
      <c r="Q35" s="3052"/>
      <c r="R35" s="3052"/>
      <c r="S35" s="3052"/>
      <c r="T35" s="3052"/>
      <c r="U35" s="3052"/>
    </row>
    <row r="36" spans="1:28">
      <c r="A36" s="3313"/>
      <c r="B36" s="3322" t="s">
        <v>2043</v>
      </c>
      <c r="C36" s="3323"/>
      <c r="D36" s="1704"/>
      <c r="E36" s="3324"/>
      <c r="F36" s="3324"/>
      <c r="G36" s="1610" t="str">
        <f>IF(B35="场地未平整","估价结果处理","")</f>
        <v/>
      </c>
      <c r="H36" s="3325"/>
      <c r="I36" s="3325"/>
      <c r="J36" s="3072"/>
      <c r="K36" s="3059"/>
      <c r="L36" s="3051"/>
      <c r="M36" s="3051"/>
      <c r="N36" s="3052"/>
      <c r="O36" s="3053"/>
      <c r="P36" s="3052"/>
      <c r="Q36" s="3052"/>
      <c r="R36" s="3052"/>
      <c r="S36" s="3052"/>
      <c r="T36" s="3052"/>
      <c r="U36" s="3052"/>
    </row>
    <row r="37" spans="1:28" ht="28.5">
      <c r="A37" s="3313"/>
      <c r="B37" s="3343"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13"/>
      <c r="B38" s="3344"/>
      <c r="C38" s="1595" t="s">
        <v>842</v>
      </c>
      <c r="D38" s="1703">
        <f>ROUNDDOWN(MIN(('数据-取费表'!$B$2-D37)/365,D34),1)</f>
        <v>121.5</v>
      </c>
      <c r="E38" s="1646" t="s">
        <v>843</v>
      </c>
      <c r="F38" s="3072"/>
      <c r="G38" s="3072"/>
      <c r="H38" s="3072"/>
      <c r="I38" s="3076"/>
      <c r="J38" s="3072"/>
      <c r="K38" s="3059"/>
      <c r="L38" s="3052"/>
      <c r="M38" s="3052"/>
      <c r="N38" s="3052"/>
      <c r="O38" s="3052"/>
      <c r="P38" s="3052"/>
      <c r="Q38" s="3052"/>
      <c r="R38" s="3052"/>
      <c r="S38" s="3052"/>
      <c r="T38" s="3052"/>
      <c r="U38" s="3052"/>
    </row>
    <row r="39" spans="1:28">
      <c r="A39" s="3314"/>
      <c r="B39" s="3345"/>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26" t="s">
        <v>1974</v>
      </c>
      <c r="T40" s="1650" t="str">
        <f>NUMBERSTRING(7-K40,1)&amp;"通"</f>
        <v>七通</v>
      </c>
      <c r="U40" s="3052"/>
    </row>
    <row r="41" spans="1:28">
      <c r="A41" s="1589"/>
      <c r="B41" s="3318" t="s">
        <v>1712</v>
      </c>
      <c r="C41" s="3318"/>
      <c r="D41" s="3318"/>
      <c r="E41" s="3318"/>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26"/>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t="s">
        <v>1317</v>
      </c>
      <c r="C43" s="1656" t="s">
        <v>1146</v>
      </c>
      <c r="D43" s="1656"/>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t="s">
        <v>1126</v>
      </c>
      <c r="C44" s="1656" t="s">
        <v>1089</v>
      </c>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2872</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c r="B3" s="22">
        <f>IF(C3="否",G5-AT5,G5)</f>
        <v>9501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9501</v>
      </c>
      <c r="H5" s="27">
        <f t="shared" ref="H5:AT5" si="0">SUM(H13:H641)</f>
        <v>9501</v>
      </c>
      <c r="I5" s="27">
        <f t="shared" si="0"/>
        <v>9501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9501</v>
      </c>
      <c r="BA5" s="29">
        <f t="shared" si="1"/>
        <v>9501</v>
      </c>
      <c r="BB5" s="29">
        <f t="shared" si="1"/>
        <v>9501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0</v>
      </c>
      <c r="F6" s="27" t="s">
        <v>1</v>
      </c>
      <c r="G6" s="27" t="s">
        <v>2</v>
      </c>
      <c r="H6" s="33">
        <f>SUMIF(I$12:AB$12,"总值",I6:AB6)</f>
        <v>0</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0</v>
      </c>
      <c r="AZ6" s="27" t="s">
        <v>3</v>
      </c>
      <c r="BA6" s="27">
        <f>ROUND($AY$6*BA5/$AZ$5,2)</f>
        <v>0</v>
      </c>
      <c r="BB6" s="27">
        <f>ROUND($AY$6*BB5/$AZ$5,2)</f>
        <v>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3004</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1668</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3005</v>
      </c>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0</v>
      </c>
      <c r="F13" s="81"/>
      <c r="G13" s="82">
        <f t="shared" ref="G13:G20" si="7">H13+AC13+AT13</f>
        <v>9501</v>
      </c>
      <c r="H13" s="33">
        <f t="shared" ref="H13:H20" si="8">SUMIF(I$12:AB$12,"总值",I13:AB13)</f>
        <v>9501</v>
      </c>
      <c r="I13" s="2729">
        <v>9501</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0</v>
      </c>
      <c r="AZ13" s="27">
        <f t="shared" ref="AZ13:AZ20" si="12">BA13+BL13</f>
        <v>9501</v>
      </c>
      <c r="BA13" s="27">
        <f t="shared" ref="BA13:BA20" si="13">SUM(BB13:BK13)</f>
        <v>9501</v>
      </c>
      <c r="BB13" s="27">
        <f t="shared" ref="BB13:BB20" si="14">IF($D13="是",I13-J13,0)</f>
        <v>9501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4" t="s">
        <v>0</v>
      </c>
      <c r="B1" s="3354" t="s">
        <v>4</v>
      </c>
      <c r="C1" s="3354" t="s">
        <v>5</v>
      </c>
      <c r="D1" s="3355" t="s">
        <v>40</v>
      </c>
      <c r="E1" s="3355" t="s">
        <v>41</v>
      </c>
      <c r="F1" s="3355"/>
      <c r="G1" s="3355"/>
      <c r="H1" s="3355"/>
      <c r="I1" s="3355"/>
      <c r="J1" s="3355"/>
      <c r="K1" s="3355"/>
      <c r="L1" s="3355"/>
      <c r="M1" s="3355"/>
    </row>
    <row r="2" spans="1:13" ht="27" customHeight="1">
      <c r="A2" s="3354"/>
      <c r="B2" s="3354"/>
      <c r="C2" s="3354"/>
      <c r="D2" s="3355"/>
      <c r="E2" s="3355" t="s">
        <v>24</v>
      </c>
      <c r="F2" s="3355" t="s">
        <v>25</v>
      </c>
      <c r="G2" s="3355"/>
      <c r="H2" s="3355"/>
      <c r="I2" s="3355"/>
      <c r="J2" s="3355" t="s">
        <v>26</v>
      </c>
      <c r="K2" s="3355"/>
      <c r="L2" s="3355"/>
      <c r="M2" s="3355"/>
    </row>
    <row r="3" spans="1:13" ht="28.5">
      <c r="A3" s="3354"/>
      <c r="B3" s="3354"/>
      <c r="C3" s="3354"/>
      <c r="D3" s="3355"/>
      <c r="E3" s="33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5" t="s">
        <v>42</v>
      </c>
      <c r="B9" s="3355"/>
      <c r="C9" s="33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65" t="s">
        <v>203</v>
      </c>
      <c r="B2" s="3365"/>
      <c r="C2" s="3365"/>
      <c r="D2" s="1887" t="s">
        <v>204</v>
      </c>
      <c r="E2" s="106" t="s">
        <v>205</v>
      </c>
      <c r="F2" s="3081"/>
      <c r="G2" s="1180"/>
      <c r="H2" s="1181"/>
      <c r="I2" s="1182" t="s">
        <v>849</v>
      </c>
      <c r="J2" s="3081"/>
      <c r="K2" s="3081"/>
      <c r="L2" s="3081"/>
      <c r="M2" s="3081"/>
      <c r="N2" s="3081"/>
      <c r="O2" s="3081"/>
      <c r="P2" s="3081"/>
    </row>
    <row r="3" spans="1:16" ht="15.75" thickBot="1">
      <c r="A3" s="3366" t="s">
        <v>206</v>
      </c>
      <c r="B3" s="3366"/>
      <c r="C3" s="3366"/>
      <c r="D3" s="107">
        <f>'数据-基础表'!AY6</f>
        <v>0</v>
      </c>
      <c r="E3" s="107">
        <f>'数据-基础表'!AZ5</f>
        <v>9501</v>
      </c>
      <c r="F3" s="3081"/>
      <c r="G3" s="277" t="s">
        <v>850</v>
      </c>
      <c r="H3" s="273" t="s">
        <v>851</v>
      </c>
      <c r="I3" s="1888" t="e">
        <f>ROUND('数据-基础表'!B3/'数据-基础表'!A3,2)</f>
        <v>#DIV/0!</v>
      </c>
      <c r="J3" s="3081"/>
      <c r="K3" s="3081"/>
      <c r="L3" s="3081"/>
      <c r="M3" s="3081"/>
      <c r="N3" s="3081"/>
      <c r="O3" s="3081"/>
      <c r="P3" s="3081"/>
    </row>
    <row r="4" spans="1:16" ht="15">
      <c r="A4" s="3367"/>
      <c r="B4" s="3368"/>
      <c r="C4" s="3369"/>
      <c r="D4" s="108" t="s">
        <v>204</v>
      </c>
      <c r="E4" s="109" t="s">
        <v>205</v>
      </c>
      <c r="F4" s="3081"/>
      <c r="G4" s="1183"/>
      <c r="H4" s="273" t="s">
        <v>852</v>
      </c>
      <c r="I4" s="1888" t="e">
        <f>ROUND(SUMIF('数据-基础表'!I9:AS9,"地上",'数据-基础表'!I5:AS5)/'数据-基础表'!A3,2)</f>
        <v>#DIV/0!</v>
      </c>
      <c r="J4" s="3081"/>
      <c r="K4" s="3081"/>
      <c r="L4" s="3081"/>
      <c r="M4" s="3081"/>
      <c r="N4" s="3081"/>
      <c r="O4" s="3081"/>
      <c r="P4" s="3081"/>
    </row>
    <row r="5" spans="1:16">
      <c r="A5" s="110" t="s">
        <v>207</v>
      </c>
      <c r="B5" s="3370" t="s">
        <v>230</v>
      </c>
      <c r="C5" s="3370"/>
      <c r="D5" s="111">
        <f>ROUND($D$3*E5/$E$3,2)</f>
        <v>0</v>
      </c>
      <c r="E5" s="112">
        <f>SUMIF('数据-基础表'!$11:$11,"住宅",'数据-基础表'!$5:$5)</f>
        <v>0</v>
      </c>
      <c r="F5" s="3081"/>
      <c r="G5" s="277" t="s">
        <v>853</v>
      </c>
      <c r="H5" s="273" t="s">
        <v>851</v>
      </c>
      <c r="I5" s="1888" t="e">
        <f>ROUND(E31/D31,2)</f>
        <v>#DIV/0!</v>
      </c>
      <c r="J5" s="3081"/>
      <c r="K5" s="3081"/>
      <c r="L5" s="3081"/>
      <c r="M5" s="3081"/>
      <c r="N5" s="3081"/>
      <c r="O5" s="3081"/>
      <c r="P5" s="3081"/>
    </row>
    <row r="6" spans="1:16" ht="15" thickBot="1">
      <c r="A6" s="113"/>
      <c r="B6" s="3370" t="s">
        <v>208</v>
      </c>
      <c r="C6" s="3370"/>
      <c r="D6" s="111">
        <f>ROUND($D$3*E6/$E$3,2)</f>
        <v>0</v>
      </c>
      <c r="E6" s="112">
        <f>E3-E5</f>
        <v>9501</v>
      </c>
      <c r="F6" s="3081"/>
      <c r="G6" s="1183"/>
      <c r="H6" s="273" t="s">
        <v>852</v>
      </c>
      <c r="I6" s="1888" t="e">
        <f>ROUND(F31/D31,2)</f>
        <v>#DIV/0!</v>
      </c>
      <c r="J6" s="3081"/>
      <c r="K6" s="3081"/>
      <c r="L6" s="3081"/>
      <c r="M6" s="3081"/>
      <c r="N6" s="3081"/>
      <c r="O6" s="3081"/>
      <c r="P6" s="3081"/>
    </row>
    <row r="7" spans="1:16" ht="15">
      <c r="A7" s="3362"/>
      <c r="B7" s="3363"/>
      <c r="C7" s="3364"/>
      <c r="D7" s="108" t="s">
        <v>204</v>
      </c>
      <c r="E7" s="114" t="s">
        <v>231</v>
      </c>
      <c r="F7" s="3081"/>
      <c r="G7" s="1138" t="s">
        <v>1636</v>
      </c>
      <c r="H7" s="1139"/>
      <c r="I7" s="1758">
        <v>6</v>
      </c>
      <c r="J7" s="3081"/>
      <c r="K7" s="3081"/>
      <c r="L7" s="3081"/>
      <c r="M7" s="3081"/>
      <c r="N7" s="3081"/>
      <c r="O7" s="3081"/>
      <c r="P7" s="3081"/>
    </row>
    <row r="8" spans="1:16">
      <c r="A8" s="110" t="s">
        <v>209</v>
      </c>
      <c r="B8" s="115" t="s">
        <v>210</v>
      </c>
      <c r="C8" s="111" t="s">
        <v>211</v>
      </c>
      <c r="D8" s="111">
        <f t="shared" ref="D8:D15" si="0">ROUND($D$3*E8/$E$3,2)</f>
        <v>0</v>
      </c>
      <c r="E8" s="116">
        <f>SUMIF('数据-基础表'!BB10:BK10,"地上",'数据-基础表'!BB5:BK5)</f>
        <v>9501</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0</v>
      </c>
      <c r="E16" s="120">
        <f>SUM(E8:E15)</f>
        <v>9501</v>
      </c>
      <c r="F16" s="3081"/>
      <c r="G16" s="3082"/>
      <c r="H16" s="955" t="s">
        <v>219</v>
      </c>
      <c r="I16" s="956"/>
      <c r="J16" s="1896"/>
      <c r="K16" s="3356" t="s">
        <v>2548</v>
      </c>
      <c r="L16" s="3357"/>
      <c r="M16" s="3357"/>
      <c r="N16" s="3357"/>
      <c r="O16" s="3357"/>
      <c r="P16" s="3358"/>
    </row>
    <row r="17" spans="1:19" ht="15">
      <c r="A17" s="121" t="s">
        <v>216</v>
      </c>
      <c r="B17" s="122" t="s">
        <v>217</v>
      </c>
      <c r="C17" s="2176" t="s">
        <v>2301</v>
      </c>
      <c r="D17" s="108" t="s">
        <v>204</v>
      </c>
      <c r="E17" s="124" t="s">
        <v>205</v>
      </c>
      <c r="F17" s="125"/>
      <c r="G17" s="1318"/>
      <c r="H17" s="957" t="s">
        <v>218</v>
      </c>
      <c r="I17" s="958" t="s">
        <v>2300</v>
      </c>
      <c r="J17" s="1896"/>
      <c r="K17" s="3359" t="s">
        <v>2549</v>
      </c>
      <c r="L17" s="3360"/>
      <c r="M17" s="3361"/>
      <c r="N17" s="3359" t="s">
        <v>2550</v>
      </c>
      <c r="O17" s="3360"/>
      <c r="P17" s="3361"/>
      <c r="R17" s="2177" t="s">
        <v>2299</v>
      </c>
      <c r="S17" s="142"/>
    </row>
    <row r="18" spans="1:19" ht="15">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3006</v>
      </c>
      <c r="D19" s="111">
        <f t="shared" ref="D19:D26" si="1">ROUND($D$3*E19/$E$3,2)</f>
        <v>0</v>
      </c>
      <c r="E19" s="134">
        <f t="shared" ref="E19:E26" si="2">SUM(F19:G19)</f>
        <v>9501</v>
      </c>
      <c r="F19" s="3083">
        <v>9501</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0</v>
      </c>
      <c r="S19" s="2179">
        <f t="shared" si="5"/>
        <v>9501</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7">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0</v>
      </c>
      <c r="E27" s="141">
        <f>IF(SUM(E19:E26)='数据-基础表'!BA5,SUM(E19:E26),IF(F27="地上面积有误","面积有误","地下面积有误"))</f>
        <v>9501</v>
      </c>
      <c r="F27" s="134">
        <f>IF(SUM(F19:F26)=E8,SUM(F19:F26),"地上面积有误")</f>
        <v>9501</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0</v>
      </c>
      <c r="S27" s="273">
        <f>IF(SUM(S19:S26)=$E$3,SUM(S19:S26),SUM(S19:S26)&amp;"误差"&amp;ROUND(SUM(S19:S26)-E3,2))</f>
        <v>9501</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0</v>
      </c>
      <c r="E31" s="1322">
        <f>E27+E30</f>
        <v>9501</v>
      </c>
      <c r="F31" s="1323">
        <f>F27+F30</f>
        <v>9501</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36" activePane="bottomRight" state="frozen"/>
      <selection pane="topRight" activeCell="D1" sqref="D1"/>
      <selection pane="bottomLeft" activeCell="A4" sqref="A4"/>
      <selection pane="bottomRight" activeCell="B53" sqref="B53"/>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44371</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2973</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办公</v>
      </c>
      <c r="B6" s="2215" t="str">
        <f>IF(A6=0,"","经营性")</f>
        <v>经营性</v>
      </c>
      <c r="C6" s="171" t="s">
        <v>1668</v>
      </c>
      <c r="D6" s="2186">
        <f>SUMIF(项目基本情况!D$15:I$15,C6,项目基本情况!D$18:I$18)</f>
        <v>50</v>
      </c>
      <c r="E6" s="2187">
        <f>IF(B6="","",SUMIF(项目基本情况!D$15:I$15,C6,项目基本情况!D$17:I$17))</f>
        <v>59172</v>
      </c>
      <c r="F6" s="172">
        <f>SUMIF(项目基本情况!D$15:I$15,C6,项目基本情况!D$19:I$19)</f>
        <v>50</v>
      </c>
      <c r="G6" s="173">
        <f>IF(ISERROR(ROUND(POWER(1+H6,D6-F6)*(POWER(1+H6,F6)-1)/(POWER(1+H6,D6)-1),3)),0,ROUND(POWER(1+H6,D6-F6)*(POWER(1+H6,F6)-1)/(POWER(1+H6,D6)-1),3))</f>
        <v>0</v>
      </c>
      <c r="H6" s="2737"/>
      <c r="I6" s="2737"/>
      <c r="J6" s="174"/>
      <c r="K6" s="177">
        <f>SUMIF('数据-汇总表'!C$19:C$33,'数据-取费表'!A6,'数据-汇总表'!E$19:E$33)</f>
        <v>9501</v>
      </c>
      <c r="L6" s="2738">
        <v>4000</v>
      </c>
      <c r="M6" s="175">
        <f t="shared" ref="M6:M14" si="0">ROUND(K6*L6/10000,0)</f>
        <v>3800</v>
      </c>
      <c r="N6" s="2739">
        <v>0</v>
      </c>
      <c r="O6" s="175">
        <f>IF($N$5="成新度","——",ROUND(M6*N6,0))</f>
        <v>0</v>
      </c>
      <c r="P6" s="176">
        <f>IF($N$5="成新度","——",M6-O6)</f>
        <v>3800</v>
      </c>
      <c r="Q6" s="2740">
        <v>0.25</v>
      </c>
      <c r="R6" s="177">
        <f>SUMIF('数据-汇总表'!C$19:C$33,A6,'数据-汇总表'!R$19:R$33)</f>
        <v>0</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f t="shared" ref="O7:O14" si="3">IF($N$5="成新度","——",ROUND(M7*N7,0))</f>
        <v>0</v>
      </c>
      <c r="P7" s="176">
        <f t="shared" ref="P7:P14" si="4">IF($N$5="成新度","——",M7-O7)</f>
        <v>0</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9501</v>
      </c>
      <c r="L16" s="204">
        <f>ROUND(M16*10000/SUM(K6:K14),0)</f>
        <v>4000</v>
      </c>
      <c r="M16" s="204">
        <f>SUM(M6:M14)</f>
        <v>3800</v>
      </c>
      <c r="N16" s="205">
        <f>ROUND(SUMPRODUCT(M6:M14,N6:N14)/M16,3)</f>
        <v>0</v>
      </c>
      <c r="O16" s="204">
        <f>SUM(O6:O14)</f>
        <v>0</v>
      </c>
      <c r="P16" s="204">
        <f>SUM(P6:P14)</f>
        <v>3800</v>
      </c>
      <c r="Q16" s="206">
        <f>ROUND(SUMPRODUCT(Q6:Q13,K6:K13)/SUMPRODUCT((Q6:Q13&gt;0)*(K6:K13)),2)</f>
        <v>0.25</v>
      </c>
      <c r="R16" s="2189">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t="e">
        <f>ROUND(SUMPRODUCT(AP6:AP13,K6:K13)/SUMPRODUCT((AP6:AP13&gt;0)*(K6:K13)),3)</f>
        <v>#DIV/0!</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2986</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1.5</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c r="C27" s="3104" t="s">
        <v>2987</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6" t="s">
        <v>2974</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v>
      </c>
      <c r="C34" s="3106" t="s">
        <v>2975</v>
      </c>
      <c r="D34" s="3107" t="s">
        <v>2983</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250</v>
      </c>
      <c r="C35" s="3106" t="s">
        <v>2976</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2977</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2978</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2978</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4.7500000000000001E-2</v>
      </c>
      <c r="C40" s="3106" t="s">
        <v>2979</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2984</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2980</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2981</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2988</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2980</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2982</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24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1146</v>
      </c>
      <c r="C53" s="3099" t="s">
        <v>2873</v>
      </c>
      <c r="D53" s="3110" t="s">
        <v>2985</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2874</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2875</v>
      </c>
      <c r="B55" s="184">
        <v>24</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2876</v>
      </c>
      <c r="B56" s="184">
        <v>18</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2877</v>
      </c>
      <c r="B57" s="184">
        <v>12</v>
      </c>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2878</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2879</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2880</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2881</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2882</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2883</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71" t="s">
        <v>1654</v>
      </c>
      <c r="B1" s="3372"/>
      <c r="C1" s="3372"/>
      <c r="D1" s="3372"/>
      <c r="E1" s="3372"/>
      <c r="F1" s="3372"/>
      <c r="G1" s="3372"/>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2890</v>
      </c>
      <c r="D3" s="3126"/>
      <c r="E3" s="3127" t="s">
        <v>1657</v>
      </c>
      <c r="F3" s="3128" t="s">
        <v>1645</v>
      </c>
      <c r="G3" s="3129" t="s">
        <v>2889</v>
      </c>
      <c r="H3" s="3122"/>
      <c r="I3" s="3122"/>
      <c r="J3" s="3122"/>
      <c r="K3" s="3122"/>
      <c r="L3" s="3122"/>
      <c r="M3" s="3122"/>
      <c r="N3" s="3122"/>
      <c r="O3" s="3122"/>
      <c r="P3" s="3122"/>
      <c r="Q3" s="3122"/>
      <c r="R3" s="3122"/>
    </row>
    <row r="4" spans="1:18" ht="40.5">
      <c r="A4" s="3127"/>
      <c r="B4" s="3130" t="s">
        <v>1658</v>
      </c>
      <c r="C4" s="3131" t="s">
        <v>2891</v>
      </c>
      <c r="D4" s="3126"/>
      <c r="E4" s="3132"/>
      <c r="F4" s="3133" t="s">
        <v>1659</v>
      </c>
      <c r="G4" s="3134" t="s">
        <v>2886</v>
      </c>
      <c r="H4" s="3122"/>
      <c r="I4" s="3122"/>
      <c r="J4" s="3122"/>
      <c r="K4" s="3122"/>
      <c r="L4" s="3122"/>
      <c r="M4" s="3122"/>
      <c r="N4" s="3122"/>
      <c r="O4" s="3122"/>
      <c r="P4" s="3122"/>
      <c r="Q4" s="3122"/>
      <c r="R4" s="3122"/>
    </row>
    <row r="5" spans="1:18" ht="41.25">
      <c r="A5" s="3127"/>
      <c r="B5" s="3130" t="s">
        <v>1660</v>
      </c>
      <c r="C5" s="3131" t="s">
        <v>2892</v>
      </c>
      <c r="D5" s="3126"/>
      <c r="E5" s="3132"/>
      <c r="F5" s="3130" t="s">
        <v>2528</v>
      </c>
      <c r="G5" s="3134" t="s">
        <v>2887</v>
      </c>
      <c r="H5" s="3122"/>
      <c r="I5" s="3122"/>
      <c r="J5" s="3122"/>
      <c r="K5" s="3122"/>
      <c r="L5" s="3122"/>
      <c r="M5" s="3122"/>
      <c r="N5" s="3122"/>
      <c r="O5" s="3122"/>
      <c r="P5" s="3122"/>
      <c r="Q5" s="3122"/>
      <c r="R5" s="3122"/>
    </row>
    <row r="6" spans="1:18" ht="40.5">
      <c r="A6" s="3127"/>
      <c r="B6" s="3130" t="s">
        <v>1646</v>
      </c>
      <c r="C6" s="3134" t="s">
        <v>2886</v>
      </c>
      <c r="D6" s="3126"/>
      <c r="E6" s="3132"/>
      <c r="F6" s="3130" t="s">
        <v>2529</v>
      </c>
      <c r="G6" s="3134" t="s">
        <v>2884</v>
      </c>
      <c r="H6" s="3122"/>
      <c r="I6" s="3122"/>
      <c r="J6" s="3122"/>
      <c r="K6" s="3122"/>
      <c r="L6" s="3122"/>
      <c r="M6" s="3122"/>
      <c r="N6" s="3122"/>
      <c r="O6" s="3122"/>
      <c r="P6" s="3122"/>
      <c r="Q6" s="3122"/>
      <c r="R6" s="3122"/>
    </row>
    <row r="7" spans="1:18" ht="27.75" thickBot="1">
      <c r="A7" s="3127"/>
      <c r="B7" s="3130" t="s">
        <v>2528</v>
      </c>
      <c r="C7" s="3134" t="s">
        <v>2887</v>
      </c>
      <c r="D7" s="3135"/>
      <c r="E7" s="3136"/>
      <c r="F7" s="3137" t="s">
        <v>1661</v>
      </c>
      <c r="G7" s="3138" t="s">
        <v>2888</v>
      </c>
      <c r="H7" s="3122"/>
      <c r="I7" s="3122"/>
      <c r="J7" s="3122"/>
      <c r="K7" s="3122"/>
      <c r="L7" s="3122"/>
      <c r="M7" s="3122"/>
      <c r="N7" s="3122"/>
      <c r="O7" s="3122"/>
      <c r="P7" s="3122"/>
      <c r="Q7" s="3122"/>
      <c r="R7" s="3122"/>
    </row>
    <row r="8" spans="1:18">
      <c r="A8" s="3127"/>
      <c r="B8" s="3130" t="s">
        <v>2529</v>
      </c>
      <c r="C8" s="3134" t="s">
        <v>2884</v>
      </c>
      <c r="D8" s="3135"/>
      <c r="E8" s="3135"/>
      <c r="F8" s="3139"/>
      <c r="G8" s="3139"/>
      <c r="H8" s="3122"/>
      <c r="I8" s="3122"/>
      <c r="J8" s="3122"/>
      <c r="K8" s="3122"/>
      <c r="L8" s="3122"/>
      <c r="M8" s="3122"/>
      <c r="N8" s="3122"/>
      <c r="O8" s="3122"/>
      <c r="P8" s="3122"/>
      <c r="Q8" s="3122"/>
      <c r="R8" s="3122"/>
    </row>
    <row r="9" spans="1:18" ht="27">
      <c r="A9" s="3127"/>
      <c r="B9" s="3130" t="s">
        <v>1647</v>
      </c>
      <c r="C9" s="3131" t="s">
        <v>2885</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2529</v>
      </c>
      <c r="G20" s="3174" t="str">
        <f>G6</f>
        <v>估价对象所在区域基础设施水平</v>
      </c>
    </row>
    <row r="21" spans="1:7" ht="27">
      <c r="A21" s="3169"/>
      <c r="B21" s="3130" t="s">
        <v>2528</v>
      </c>
      <c r="C21" s="3174" t="str">
        <f>C7</f>
        <v>估价对象所在区域公共配套设施齐备情况</v>
      </c>
      <c r="D21" s="3126"/>
      <c r="E21" s="3172"/>
      <c r="F21" s="3173" t="s">
        <v>1652</v>
      </c>
      <c r="G21" s="3176"/>
    </row>
    <row r="22" spans="1:7" ht="14.25">
      <c r="A22" s="3169"/>
      <c r="B22" s="3130" t="s">
        <v>2529</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9501</v>
      </c>
      <c r="C1" s="3193"/>
      <c r="D1" s="3193"/>
      <c r="E1" s="3193"/>
      <c r="F1" s="3193"/>
      <c r="G1" s="3194"/>
      <c r="H1" s="3194"/>
      <c r="I1" s="3194"/>
      <c r="J1" s="3194"/>
    </row>
    <row r="2" spans="1:10" ht="16.5">
      <c r="A2" s="3184" t="s">
        <v>2825</v>
      </c>
      <c r="B2" s="3184">
        <f>SUM(C14:C23)</f>
        <v>0</v>
      </c>
      <c r="C2" s="3193"/>
      <c r="D2" s="3193"/>
      <c r="E2" s="3193"/>
      <c r="F2" s="3193"/>
      <c r="G2" s="3194"/>
      <c r="H2" s="3194"/>
      <c r="I2" s="3194"/>
      <c r="J2" s="3194"/>
    </row>
    <row r="3" spans="1:10" ht="16.5">
      <c r="A3" s="3184" t="s">
        <v>2826</v>
      </c>
      <c r="B3" s="3186">
        <f>项目基本情况!D3</f>
        <v>44371</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20888</v>
      </c>
      <c r="C5" s="3184">
        <f ca="1">ROUND(B5*10000/$B$1,0)</f>
        <v>21985</v>
      </c>
      <c r="D5" s="3184" t="e">
        <f ca="1">ROUND(B5*10000/$B$2,0)</f>
        <v>#DIV/0!</v>
      </c>
      <c r="E5" s="3193"/>
      <c r="F5" s="3193"/>
      <c r="G5" s="3194"/>
      <c r="H5" s="3194"/>
      <c r="I5" s="3194"/>
      <c r="J5" s="3194"/>
    </row>
    <row r="6" spans="1:10" ht="16.5">
      <c r="A6" s="3184" t="s">
        <v>2832</v>
      </c>
      <c r="B6" s="3184">
        <f>SUM(G14:G23)</f>
        <v>0</v>
      </c>
      <c r="C6" s="3184">
        <f t="shared" ref="C6:C8" si="0">ROUND(B6*10000/$B$1,0)</f>
        <v>0</v>
      </c>
      <c r="D6" s="3184" t="e">
        <f t="shared" ref="D6:D8" si="1">ROUND(B6*10000/$B$2,0)</f>
        <v>#DIV/0!</v>
      </c>
      <c r="E6" s="3193"/>
      <c r="F6" s="3193"/>
      <c r="G6" s="3194"/>
      <c r="H6" s="3194"/>
      <c r="I6" s="3194"/>
      <c r="J6" s="3194"/>
    </row>
    <row r="7" spans="1:10" ht="16.5">
      <c r="A7" s="3184" t="s">
        <v>2833</v>
      </c>
      <c r="B7" s="3184">
        <f>SUM(H14:H23)</f>
        <v>0</v>
      </c>
      <c r="C7" s="3184">
        <f t="shared" si="0"/>
        <v>0</v>
      </c>
      <c r="D7" s="3184" t="e">
        <f t="shared" si="1"/>
        <v>#DIV/0!</v>
      </c>
      <c r="E7" s="3193"/>
      <c r="F7" s="3193"/>
      <c r="G7" s="3194"/>
      <c r="H7" s="3194"/>
      <c r="I7" s="3194"/>
      <c r="J7" s="3194"/>
    </row>
    <row r="8" spans="1:10" ht="16.5">
      <c r="A8" s="3184" t="s">
        <v>2834</v>
      </c>
      <c r="B8" s="3184">
        <f>SUM(I14:I23)</f>
        <v>0</v>
      </c>
      <c r="C8" s="3184">
        <f t="shared" si="0"/>
        <v>0</v>
      </c>
      <c r="D8" s="3184" t="e">
        <f t="shared" si="1"/>
        <v>#DIV/0!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9501</v>
      </c>
      <c r="C14" s="3190">
        <f>结果表!K38</f>
        <v>0</v>
      </c>
      <c r="D14" s="3190">
        <f ca="1">结果表!C42</f>
        <v>20888</v>
      </c>
      <c r="E14" s="3190">
        <f ca="1">ROUND(D14*10000/B14,0)</f>
        <v>21985</v>
      </c>
      <c r="F14" s="3190" t="e">
        <f ca="1">ROUND(D14*10000/C14,0)</f>
        <v>#DIV/0!</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6"/>
      <c r="H15" s="2756"/>
      <c r="I15" s="3191"/>
      <c r="J15" s="3194"/>
    </row>
    <row r="16" spans="1:10" ht="16.5">
      <c r="A16" s="3189" t="s">
        <v>2842</v>
      </c>
      <c r="B16" s="3191"/>
      <c r="C16" s="3191"/>
      <c r="D16" s="3191"/>
      <c r="E16" s="3190" t="e">
        <f t="shared" si="2"/>
        <v>#DIV/0!</v>
      </c>
      <c r="F16" s="3190" t="e">
        <f t="shared" si="3"/>
        <v>#DIV/0!</v>
      </c>
      <c r="G16" s="2756"/>
      <c r="H16" s="2756"/>
      <c r="I16" s="3191"/>
      <c r="J16" s="3194"/>
    </row>
    <row r="17" spans="1:10" ht="16.5">
      <c r="A17" s="3189" t="s">
        <v>2843</v>
      </c>
      <c r="B17" s="3191"/>
      <c r="C17" s="3191"/>
      <c r="D17" s="3191"/>
      <c r="E17" s="3190" t="e">
        <f t="shared" si="2"/>
        <v>#DIV/0!</v>
      </c>
      <c r="F17" s="3190" t="e">
        <f t="shared" si="3"/>
        <v>#DIV/0!</v>
      </c>
      <c r="G17" s="2756"/>
      <c r="H17" s="2756"/>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t="s">
        <v>3014</v>
      </c>
      <c r="E1" s="1718" t="s">
        <v>2046</v>
      </c>
      <c r="F1" s="1720"/>
      <c r="G1" s="308"/>
      <c r="H1" s="308"/>
      <c r="I1" s="308"/>
      <c r="J1" s="1910"/>
      <c r="K1" s="1910"/>
      <c r="L1" s="1910"/>
      <c r="M1" s="1910"/>
      <c r="N1" s="1910"/>
      <c r="O1" s="1910"/>
      <c r="P1" s="1910"/>
      <c r="Q1" s="1910"/>
      <c r="R1" s="1910"/>
      <c r="S1" s="1910"/>
      <c r="T1" s="1910"/>
      <c r="U1" s="1910"/>
      <c r="V1" s="1910"/>
    </row>
    <row r="2" spans="1:22" ht="21.75" customHeight="1" thickBot="1">
      <c r="A2" s="3417" t="str">
        <f>项目基本情况!K2</f>
        <v>北京市国有建设用地使用权</v>
      </c>
      <c r="B2" s="3418"/>
      <c r="C2" s="3419"/>
      <c r="D2" s="3419"/>
      <c r="E2" s="3419"/>
      <c r="F2" s="3419"/>
      <c r="G2" s="3418"/>
      <c r="H2" s="3418"/>
      <c r="I2" s="3420"/>
      <c r="J2" s="1911"/>
      <c r="K2" s="1910"/>
      <c r="L2" s="1910"/>
      <c r="M2" s="1910"/>
      <c r="N2" s="1910"/>
      <c r="O2" s="1910"/>
      <c r="P2" s="1910"/>
      <c r="Q2" s="1910"/>
      <c r="R2" s="1910"/>
      <c r="S2" s="1910"/>
      <c r="T2" s="1910"/>
      <c r="U2" s="1910"/>
      <c r="V2" s="1910"/>
    </row>
    <row r="3" spans="1:22" ht="14.25">
      <c r="A3" s="3410" t="s">
        <v>298</v>
      </c>
      <c r="B3" s="3411"/>
      <c r="C3" s="3411"/>
      <c r="D3" s="3411"/>
      <c r="E3" s="3411"/>
      <c r="F3" s="3411"/>
      <c r="G3" s="3411"/>
      <c r="H3" s="3411"/>
      <c r="I3" s="3411"/>
      <c r="J3" s="1911"/>
      <c r="K3" s="1910"/>
      <c r="L3" s="1910"/>
      <c r="M3" s="1910"/>
      <c r="N3" s="1910"/>
      <c r="O3" s="1910"/>
      <c r="P3" s="1910"/>
      <c r="Q3" s="1910"/>
      <c r="R3" s="1910"/>
      <c r="S3" s="1910"/>
      <c r="T3" s="1910"/>
      <c r="U3" s="1910"/>
      <c r="V3" s="1910"/>
    </row>
    <row r="4" spans="1:22" ht="14.25">
      <c r="A4" s="256" t="s">
        <v>299</v>
      </c>
      <c r="B4" s="257" t="s">
        <v>300</v>
      </c>
      <c r="C4" s="258" t="s">
        <v>3007</v>
      </c>
      <c r="D4" s="258" t="s">
        <v>3008</v>
      </c>
      <c r="E4" s="3376" t="s">
        <v>301</v>
      </c>
      <c r="F4" s="3377"/>
      <c r="G4" s="3377"/>
      <c r="H4" s="3377"/>
      <c r="I4" s="3412"/>
      <c r="J4" s="1911"/>
      <c r="K4" s="1910"/>
      <c r="L4" s="3195"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375" t="s">
        <v>302</v>
      </c>
      <c r="B5" s="3404">
        <v>25</v>
      </c>
      <c r="C5" s="3402"/>
      <c r="D5" s="3406"/>
      <c r="E5" s="259" t="s">
        <v>303</v>
      </c>
      <c r="F5" s="260"/>
      <c r="G5" s="260"/>
      <c r="H5" s="260"/>
      <c r="I5" s="261"/>
      <c r="J5" s="1911"/>
      <c r="K5" s="1910"/>
      <c r="L5" s="1910"/>
      <c r="M5" s="1910"/>
      <c r="N5" s="1910"/>
      <c r="O5" s="1910"/>
      <c r="P5" s="1910"/>
      <c r="Q5" s="1910"/>
      <c r="R5" s="1910"/>
      <c r="S5" s="1910"/>
      <c r="T5" s="1910"/>
      <c r="U5" s="1910"/>
      <c r="V5" s="1910"/>
    </row>
    <row r="6" spans="1:22" ht="14.25">
      <c r="A6" s="3375"/>
      <c r="B6" s="3404"/>
      <c r="C6" s="3405"/>
      <c r="D6" s="3406"/>
      <c r="E6" s="259" t="s">
        <v>304</v>
      </c>
      <c r="F6" s="260"/>
      <c r="G6" s="260"/>
      <c r="H6" s="260"/>
      <c r="I6" s="261"/>
      <c r="J6" s="1911"/>
      <c r="K6" s="1910"/>
      <c r="L6" s="1910"/>
      <c r="M6" s="1910"/>
      <c r="N6" s="1910"/>
      <c r="O6" s="1910"/>
      <c r="P6" s="1910"/>
      <c r="Q6" s="1910"/>
      <c r="R6" s="1910"/>
      <c r="S6" s="1910"/>
      <c r="T6" s="1910"/>
      <c r="U6" s="1910"/>
      <c r="V6" s="1910"/>
    </row>
    <row r="7" spans="1:22" ht="14.25">
      <c r="A7" s="3375"/>
      <c r="B7" s="3404"/>
      <c r="C7" s="3403"/>
      <c r="D7" s="3406"/>
      <c r="E7" s="259" t="s">
        <v>305</v>
      </c>
      <c r="F7" s="260"/>
      <c r="G7" s="260"/>
      <c r="H7" s="260"/>
      <c r="I7" s="261"/>
      <c r="J7" s="1911"/>
      <c r="K7" s="1910"/>
      <c r="L7" s="1910"/>
      <c r="M7" s="1910"/>
      <c r="N7" s="1910"/>
      <c r="O7" s="1910"/>
      <c r="P7" s="1910"/>
      <c r="Q7" s="1910"/>
      <c r="R7" s="1910"/>
      <c r="S7" s="1910"/>
      <c r="T7" s="1910"/>
      <c r="U7" s="1910"/>
      <c r="V7" s="1910"/>
    </row>
    <row r="8" spans="1:22" ht="14.25">
      <c r="A8" s="3375" t="s">
        <v>306</v>
      </c>
      <c r="B8" s="3404">
        <v>15</v>
      </c>
      <c r="C8" s="3402"/>
      <c r="D8" s="3406"/>
      <c r="E8" s="259" t="s">
        <v>307</v>
      </c>
      <c r="F8" s="260"/>
      <c r="G8" s="260"/>
      <c r="H8" s="260"/>
      <c r="I8" s="261"/>
      <c r="J8" s="1911"/>
      <c r="K8" s="1910"/>
      <c r="L8" s="1910"/>
      <c r="M8" s="1910"/>
      <c r="N8" s="1910"/>
      <c r="O8" s="1910"/>
      <c r="P8" s="1910"/>
      <c r="Q8" s="1910"/>
      <c r="R8" s="1910"/>
      <c r="S8" s="1910"/>
      <c r="T8" s="1910"/>
      <c r="U8" s="1910"/>
      <c r="V8" s="1910"/>
    </row>
    <row r="9" spans="1:22" ht="14.25">
      <c r="A9" s="3375"/>
      <c r="B9" s="3404"/>
      <c r="C9" s="3403"/>
      <c r="D9" s="3406"/>
      <c r="E9" s="259" t="s">
        <v>308</v>
      </c>
      <c r="F9" s="260"/>
      <c r="G9" s="260"/>
      <c r="H9" s="260"/>
      <c r="I9" s="261"/>
      <c r="J9" s="1911"/>
      <c r="K9" s="1910"/>
      <c r="L9" s="1910"/>
      <c r="M9" s="1910"/>
      <c r="N9" s="1910"/>
      <c r="O9" s="1910"/>
      <c r="P9" s="1910"/>
      <c r="Q9" s="1910"/>
      <c r="R9" s="1910"/>
      <c r="S9" s="1910"/>
      <c r="T9" s="1910"/>
      <c r="U9" s="1910"/>
      <c r="V9" s="1910"/>
    </row>
    <row r="10" spans="1:22" ht="14.25">
      <c r="A10" s="3375" t="s">
        <v>309</v>
      </c>
      <c r="B10" s="3404">
        <v>15</v>
      </c>
      <c r="C10" s="3402"/>
      <c r="D10" s="3406"/>
      <c r="E10" s="259" t="s">
        <v>310</v>
      </c>
      <c r="F10" s="260"/>
      <c r="G10" s="260"/>
      <c r="H10" s="260"/>
      <c r="I10" s="261"/>
      <c r="J10" s="1911"/>
      <c r="K10" s="1910"/>
      <c r="L10" s="1910"/>
      <c r="M10" s="1910"/>
      <c r="N10" s="1910"/>
      <c r="O10" s="1910"/>
      <c r="P10" s="1910"/>
      <c r="Q10" s="1910"/>
      <c r="R10" s="1910"/>
      <c r="S10" s="1910"/>
      <c r="T10" s="1910"/>
      <c r="U10" s="1910"/>
      <c r="V10" s="1910"/>
    </row>
    <row r="11" spans="1:22" ht="14.25">
      <c r="A11" s="3375"/>
      <c r="B11" s="3404"/>
      <c r="C11" s="3403"/>
      <c r="D11" s="3406"/>
      <c r="E11" s="259" t="s">
        <v>311</v>
      </c>
      <c r="F11" s="260"/>
      <c r="G11" s="260"/>
      <c r="H11" s="260"/>
      <c r="I11" s="261"/>
      <c r="J11" s="1911"/>
      <c r="K11" s="1910"/>
      <c r="L11" s="1910"/>
      <c r="M11" s="1910"/>
      <c r="N11" s="1910"/>
      <c r="O11" s="1910"/>
      <c r="P11" s="1910"/>
      <c r="Q11" s="1910"/>
      <c r="R11" s="1910"/>
      <c r="S11" s="1910"/>
      <c r="T11" s="1910"/>
      <c r="U11" s="1910"/>
      <c r="V11" s="1910"/>
    </row>
    <row r="12" spans="1:22" ht="14.25">
      <c r="A12" s="3375" t="s">
        <v>312</v>
      </c>
      <c r="B12" s="3404">
        <v>15</v>
      </c>
      <c r="C12" s="3402"/>
      <c r="D12" s="3406"/>
      <c r="E12" s="259" t="s">
        <v>313</v>
      </c>
      <c r="F12" s="260"/>
      <c r="G12" s="260"/>
      <c r="H12" s="260"/>
      <c r="I12" s="261"/>
      <c r="J12" s="1911"/>
      <c r="K12" s="1910"/>
      <c r="L12" s="1910"/>
      <c r="M12" s="1910"/>
      <c r="N12" s="1910"/>
      <c r="O12" s="1910"/>
      <c r="P12" s="1910"/>
      <c r="Q12" s="1910"/>
      <c r="R12" s="1910"/>
      <c r="S12" s="1910"/>
      <c r="T12" s="1910"/>
      <c r="U12" s="1910"/>
      <c r="V12" s="1910"/>
    </row>
    <row r="13" spans="1:22" ht="14.25">
      <c r="A13" s="3375"/>
      <c r="B13" s="3404"/>
      <c r="C13" s="3403"/>
      <c r="D13" s="3406"/>
      <c r="E13" s="259" t="s">
        <v>314</v>
      </c>
      <c r="F13" s="260"/>
      <c r="G13" s="260"/>
      <c r="H13" s="260"/>
      <c r="I13" s="261"/>
      <c r="J13" s="1911"/>
      <c r="K13" s="1910"/>
      <c r="L13" s="1910"/>
      <c r="M13" s="1910"/>
      <c r="N13" s="1910"/>
      <c r="O13" s="1910"/>
      <c r="P13" s="1910"/>
      <c r="Q13" s="1910"/>
      <c r="R13" s="1910"/>
      <c r="S13" s="1910"/>
      <c r="T13" s="1910"/>
      <c r="U13" s="1910"/>
      <c r="V13" s="1910"/>
    </row>
    <row r="14" spans="1:22" ht="14.25">
      <c r="A14" s="3375" t="s">
        <v>315</v>
      </c>
      <c r="B14" s="3404">
        <v>30</v>
      </c>
      <c r="C14" s="3402">
        <v>6</v>
      </c>
      <c r="D14" s="3406">
        <f>10-C14</f>
        <v>4</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375"/>
      <c r="B15" s="3404"/>
      <c r="C15" s="3405"/>
      <c r="D15" s="3406"/>
      <c r="E15" s="259" t="s">
        <v>317</v>
      </c>
      <c r="F15" s="260"/>
      <c r="G15" s="260"/>
      <c r="H15" s="260"/>
      <c r="I15" s="261"/>
      <c r="J15" s="1911"/>
      <c r="K15" s="1910"/>
      <c r="L15" s="1910"/>
      <c r="M15" s="1910"/>
      <c r="N15" s="1910"/>
      <c r="O15" s="1910"/>
      <c r="P15" s="1910"/>
      <c r="Q15" s="1910"/>
      <c r="R15" s="1910"/>
      <c r="S15" s="1910"/>
      <c r="T15" s="1910"/>
      <c r="U15" s="1910"/>
      <c r="V15" s="1910"/>
    </row>
    <row r="16" spans="1:22" ht="14.25">
      <c r="A16" s="3375"/>
      <c r="B16" s="3404"/>
      <c r="C16" s="3403"/>
      <c r="D16" s="3406"/>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6</v>
      </c>
      <c r="D17" s="263">
        <f>SUM(D5:D16)</f>
        <v>4</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0.6</v>
      </c>
      <c r="D18" s="265">
        <f>1-C18</f>
        <v>0.4</v>
      </c>
      <c r="E18" s="3407" t="s">
        <v>2962</v>
      </c>
      <c r="F18" s="3408"/>
      <c r="G18" s="3408"/>
      <c r="H18" s="3408"/>
      <c r="I18" s="3408"/>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17474</v>
      </c>
      <c r="D19" s="269">
        <f ca="1">SUMIF(INDIRECT("'"&amp;D4&amp;"'"&amp;"!A:A"),结果表!B19,INDIRECT("'"&amp;D4&amp;"'"&amp;"!B:B"))</f>
        <v>26009</v>
      </c>
      <c r="E19" s="266" t="s">
        <v>323</v>
      </c>
      <c r="F19" s="267" t="s">
        <v>322</v>
      </c>
      <c r="G19" s="270">
        <f ca="1">ROUND(C19*$C$18+D19*$D$18,0)</f>
        <v>20888</v>
      </c>
      <c r="H19" s="271" t="s">
        <v>324</v>
      </c>
      <c r="I19" s="308"/>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18392</v>
      </c>
      <c r="D20" s="275">
        <f ca="1">SUMIF(INDIRECT("'"&amp;D4&amp;"'"&amp;"!A:A"),结果表!B20,INDIRECT("'"&amp;D4&amp;"'"&amp;"!B:B"))</f>
        <v>27375</v>
      </c>
      <c r="E20" s="272"/>
      <c r="F20" s="273" t="s">
        <v>325</v>
      </c>
      <c r="G20" s="3281">
        <f ca="1">ROUND(C20*$C$18+D20*$D$18,0)</f>
        <v>21985</v>
      </c>
      <c r="H20" s="276" t="s">
        <v>326</v>
      </c>
      <c r="I20" s="308"/>
      <c r="J20" s="1910"/>
      <c r="K20" s="1910"/>
      <c r="L20" s="1910"/>
      <c r="M20" s="1910"/>
      <c r="N20" s="1910"/>
      <c r="O20" s="1910"/>
      <c r="P20" s="1910"/>
      <c r="Q20" s="1910"/>
      <c r="R20" s="1910"/>
      <c r="S20" s="1910"/>
      <c r="T20" s="1910"/>
      <c r="U20" s="1910"/>
      <c r="V20" s="1910"/>
    </row>
    <row r="21" spans="1:26" ht="15" customHeight="1">
      <c r="A21" s="272"/>
      <c r="B21" s="277" t="s">
        <v>327</v>
      </c>
      <c r="C21" s="278" t="e">
        <f ca="1">SUMIF(INDIRECT("'"&amp;C4&amp;"'"&amp;"!A:A"),结果表!B21,INDIRECT("'"&amp;C4&amp;"'"&amp;"!B:B"))</f>
        <v>#DIV/0!</v>
      </c>
      <c r="D21" s="149" t="e">
        <f ca="1">SUMIF(INDIRECT("'"&amp;D4&amp;"'"&amp;"!A:A"),结果表!B21,INDIRECT("'"&amp;D4&amp;"'"&amp;"!B:B"))</f>
        <v>#DIV/0!</v>
      </c>
      <c r="E21" s="272"/>
      <c r="F21" s="277" t="s">
        <v>327</v>
      </c>
      <c r="G21" s="279" t="e">
        <f ca="1">ROUND(C21*$C$18+D21*$D$18,0)</f>
        <v>#DIV/0!</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0.48843996795238631</v>
      </c>
      <c r="E22" s="281"/>
      <c r="F22" s="282"/>
      <c r="G22" s="283" t="e">
        <f ca="1">ROUND(G19/('数据-汇总表'!D3/666.67),0)</f>
        <v>#DIV/0!</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381" t="s">
        <v>330</v>
      </c>
      <c r="B24" s="267"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382"/>
      <c r="B25" s="1274" t="s">
        <v>331</v>
      </c>
      <c r="C25" s="287">
        <f>IF(B30=0,0,C30)</f>
        <v>0</v>
      </c>
      <c r="D25" s="288"/>
      <c r="E25" s="308"/>
      <c r="F25" s="308"/>
      <c r="G25" s="308"/>
      <c r="H25" s="308"/>
      <c r="I25" s="308"/>
      <c r="J25" s="1910"/>
      <c r="K25" s="1208" t="str">
        <f ca="1">项目基本情况!B16&amp;"国有建设用地使用权价格："&amp;O38&amp;"万元"</f>
        <v>国有建设用地使用权价格：20888万元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大写金额：人民币贰亿零捌佰捌拾捌万元整</v>
      </c>
      <c r="L26" s="1205"/>
      <c r="M26" s="1205"/>
      <c r="N26" s="1205"/>
      <c r="O26" s="1204"/>
      <c r="P26" s="1910"/>
      <c r="Q26" s="1910"/>
      <c r="R26" s="1910"/>
      <c r="S26" s="1910"/>
      <c r="T26" s="1910"/>
      <c r="U26" s="1910"/>
      <c r="V26" s="1910"/>
      <c r="W26" s="289"/>
      <c r="X26" s="289"/>
      <c r="Y26" s="289"/>
      <c r="Z26" s="289"/>
    </row>
    <row r="27" spans="1:26" ht="18">
      <c r="A27" s="290"/>
      <c r="B27" s="291"/>
      <c r="C27" s="291"/>
      <c r="D27" s="292"/>
      <c r="E27" s="308"/>
      <c r="F27" s="308"/>
      <c r="G27" s="308"/>
      <c r="H27" s="308"/>
      <c r="I27" s="308"/>
      <c r="J27" s="1910"/>
      <c r="K27" s="1211" t="e">
        <f ca="1">"单位面积地价："&amp;M38&amp;"元/平方米"</f>
        <v>#DIV/0!</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楼面地价：21985元/平方米</v>
      </c>
      <c r="L28" s="1205"/>
      <c r="M28" s="1205"/>
      <c r="N28" s="1205"/>
      <c r="O28" s="1204"/>
      <c r="P28" s="1910"/>
      <c r="V28" s="1910"/>
    </row>
    <row r="29" spans="1:26" ht="18">
      <c r="A29" s="290"/>
      <c r="B29" s="291"/>
      <c r="C29" s="291"/>
      <c r="D29" s="292"/>
      <c r="E29" s="308"/>
      <c r="F29" s="308"/>
      <c r="G29" s="308"/>
      <c r="H29" s="308"/>
      <c r="I29" s="308"/>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6"/>
      <c r="C30" s="306"/>
      <c r="D30" s="307"/>
      <c r="E30" s="3002" t="s">
        <v>2963</v>
      </c>
      <c r="F30" s="308"/>
      <c r="G30" s="308"/>
      <c r="H30" s="308"/>
      <c r="I30" s="308"/>
      <c r="J30" s="1910"/>
      <c r="K30" s="1211" t="str">
        <f>IF(K29="——","——","大写金额：人民币"&amp;NUMBERSTRING(INT(O39*10000),2)&amp;"元整")</f>
        <v>——</v>
      </c>
      <c r="L30" s="1205"/>
      <c r="M30" s="1205"/>
      <c r="N30" s="1205"/>
      <c r="O30" s="1204"/>
      <c r="P30" s="1910"/>
      <c r="V30" s="1910"/>
    </row>
    <row r="31" spans="1:26" ht="24" customHeight="1" thickBot="1">
      <c r="A31" s="3409" t="s">
        <v>2964</v>
      </c>
      <c r="B31" s="3409"/>
      <c r="C31" s="3409"/>
      <c r="D31" s="3409"/>
      <c r="E31" s="3409"/>
      <c r="F31" s="3409"/>
      <c r="G31" s="3409"/>
      <c r="H31" s="3409"/>
      <c r="I31" s="3409"/>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20888</v>
      </c>
      <c r="D32" s="3004" t="s">
        <v>1680</v>
      </c>
      <c r="E32" s="308"/>
      <c r="F32" s="308"/>
      <c r="G32" s="308"/>
      <c r="H32" s="308"/>
      <c r="I32" s="308"/>
      <c r="J32" s="1910"/>
      <c r="K32" s="2316" t="e">
        <f>IF(K31="——","——","大写金额：人民币"&amp;NUMBERSTRING(INT(O40*10000),2)&amp;"元整")</f>
        <v>#VALUE!</v>
      </c>
      <c r="L32" s="2319"/>
      <c r="M32" s="2319"/>
      <c r="N32" s="2319"/>
      <c r="O32" s="2320"/>
      <c r="P32" s="1910"/>
      <c r="V32" s="1910"/>
    </row>
    <row r="33" spans="1:26" ht="18.75" thickBot="1">
      <c r="A33" s="295" t="s">
        <v>340</v>
      </c>
      <c r="B33" s="1332" t="s">
        <v>1681</v>
      </c>
      <c r="C33" s="262">
        <f ca="1">ROUND(C32*10000/'数据-汇总表'!E3,0)</f>
        <v>21985</v>
      </c>
      <c r="D33" s="1333" t="s">
        <v>1682</v>
      </c>
      <c r="E33" s="3381" t="s">
        <v>338</v>
      </c>
      <c r="F33" s="293" t="s">
        <v>339</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4" t="s">
        <v>1683</v>
      </c>
      <c r="C34" s="262" t="e">
        <f ca="1">ROUND(C32*10000/'数据-汇总表'!D3,0)</f>
        <v>#DIV/0!</v>
      </c>
      <c r="D34" s="1335" t="s">
        <v>1682</v>
      </c>
      <c r="E34" s="3425"/>
      <c r="F34" s="127" t="s">
        <v>341</v>
      </c>
      <c r="G34" s="296"/>
      <c r="H34" s="105"/>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6"/>
      <c r="C35" s="1337" t="e">
        <f ca="1">ROUND(C32/('数据-汇总表'!D3/666.67),0)</f>
        <v>#DIV/0!</v>
      </c>
      <c r="D35" s="1338" t="s">
        <v>1684</v>
      </c>
      <c r="E35" s="3426"/>
      <c r="F35" s="298" t="s">
        <v>342</v>
      </c>
      <c r="G35" s="969"/>
      <c r="H35" s="968" t="s">
        <v>343</v>
      </c>
      <c r="I35" s="308"/>
      <c r="J35" s="1910"/>
      <c r="K35" s="3399" t="s">
        <v>350</v>
      </c>
      <c r="L35" s="3399" t="s">
        <v>351</v>
      </c>
      <c r="M35" s="1217" t="s">
        <v>352</v>
      </c>
      <c r="N35" s="3399" t="s">
        <v>353</v>
      </c>
      <c r="O35" s="3399" t="s">
        <v>354</v>
      </c>
      <c r="P35" s="1910"/>
      <c r="V35" s="1910"/>
    </row>
    <row r="36" spans="1:26" ht="16.5" customHeight="1">
      <c r="A36" s="300" t="s">
        <v>344</v>
      </c>
      <c r="B36" s="301" t="s">
        <v>333</v>
      </c>
      <c r="C36" s="302" t="s">
        <v>345</v>
      </c>
      <c r="D36" s="302" t="s">
        <v>346</v>
      </c>
      <c r="E36" s="303" t="s">
        <v>347</v>
      </c>
      <c r="F36" s="308"/>
      <c r="G36" s="308"/>
      <c r="H36" s="308"/>
      <c r="I36" s="308"/>
      <c r="J36" s="1912"/>
      <c r="K36" s="3400"/>
      <c r="L36" s="3400"/>
      <c r="M36" s="1219" t="s">
        <v>355</v>
      </c>
      <c r="N36" s="3400"/>
      <c r="O36" s="3400"/>
      <c r="P36" s="1910"/>
      <c r="V36" s="1910"/>
    </row>
    <row r="37" spans="1:26" ht="16.5" customHeight="1" thickBot="1">
      <c r="A37" s="1213" t="s">
        <v>348</v>
      </c>
      <c r="B37" s="304"/>
      <c r="C37" s="291"/>
      <c r="D37" s="291"/>
      <c r="E37" s="292"/>
      <c r="F37" s="308"/>
      <c r="G37" s="308"/>
      <c r="H37" s="308"/>
      <c r="I37" s="308"/>
      <c r="J37" s="1912"/>
      <c r="K37" s="3401"/>
      <c r="L37" s="3401"/>
      <c r="M37" s="1220"/>
      <c r="N37" s="3401"/>
      <c r="O37" s="3401"/>
      <c r="P37" s="1910"/>
      <c r="V37" s="1910"/>
    </row>
    <row r="38" spans="1:26" ht="16.5" customHeight="1" thickBot="1">
      <c r="A38" s="1213" t="s">
        <v>349</v>
      </c>
      <c r="B38" s="304"/>
      <c r="C38" s="291"/>
      <c r="D38" s="291"/>
      <c r="E38" s="292"/>
      <c r="F38" s="308"/>
      <c r="G38" s="308"/>
      <c r="H38" s="308"/>
      <c r="I38" s="308"/>
      <c r="J38" s="1912"/>
      <c r="K38" s="1221">
        <f>'数据-汇总表'!D3</f>
        <v>0</v>
      </c>
      <c r="L38" s="1222">
        <f>'数据-汇总表'!E3</f>
        <v>9501</v>
      </c>
      <c r="M38" s="1222" t="e">
        <f ca="1">C34</f>
        <v>#DIV/0!</v>
      </c>
      <c r="N38" s="1222">
        <f ca="1">C33</f>
        <v>21985</v>
      </c>
      <c r="O38" s="1223">
        <f ca="1">C32</f>
        <v>20888</v>
      </c>
      <c r="P38" s="1910"/>
      <c r="V38" s="1910"/>
    </row>
    <row r="39" spans="1:26" ht="16.5" customHeight="1" thickBot="1">
      <c r="A39" s="1218"/>
      <c r="B39" s="305"/>
      <c r="C39" s="306"/>
      <c r="D39" s="306"/>
      <c r="E39" s="307"/>
      <c r="F39" s="308"/>
      <c r="G39" s="308"/>
      <c r="H39" s="308"/>
      <c r="I39" s="308"/>
      <c r="J39" s="1912"/>
      <c r="K39" s="3439" t="str">
        <f>MID(A44,3,LEN(A44)-2)</f>
        <v/>
      </c>
      <c r="L39" s="3440"/>
      <c r="M39" s="3440"/>
      <c r="N39" s="3441"/>
      <c r="O39" s="1340" t="str">
        <f>C44</f>
        <v>——</v>
      </c>
      <c r="P39" s="1910"/>
      <c r="V39" s="1910"/>
    </row>
    <row r="40" spans="1:26" ht="19.5" thickBot="1">
      <c r="A40" s="104" t="s">
        <v>864</v>
      </c>
      <c r="B40" s="308"/>
      <c r="C40" s="308"/>
      <c r="D40" s="308"/>
      <c r="E40" s="308"/>
      <c r="F40" s="308"/>
      <c r="G40" s="308"/>
      <c r="H40" s="308"/>
      <c r="I40" s="308"/>
      <c r="J40" s="1912"/>
      <c r="K40" s="3439" t="str">
        <f t="shared" ref="K40:K41" si="0">MID(A45,3,LEN(A45)-2)</f>
        <v/>
      </c>
      <c r="L40" s="3440"/>
      <c r="M40" s="3440"/>
      <c r="N40" s="3441"/>
      <c r="O40" s="1340" t="str">
        <f>C45</f>
        <v>——</v>
      </c>
      <c r="P40" s="1910"/>
      <c r="V40" s="1910"/>
    </row>
    <row r="41" spans="1:26" ht="16.5" thickBot="1">
      <c r="A41" s="309" t="s">
        <v>356</v>
      </c>
      <c r="B41" s="310"/>
      <c r="C41" s="311" t="s">
        <v>357</v>
      </c>
      <c r="D41" s="312" t="s">
        <v>358</v>
      </c>
      <c r="E41" s="312" t="s">
        <v>359</v>
      </c>
      <c r="F41" s="313" t="s">
        <v>360</v>
      </c>
      <c r="G41" s="308"/>
      <c r="H41" s="308"/>
      <c r="I41" s="308"/>
      <c r="J41" s="1912"/>
      <c r="K41" s="3439" t="str">
        <f t="shared" si="0"/>
        <v/>
      </c>
      <c r="L41" s="3440"/>
      <c r="M41" s="3440"/>
      <c r="N41" s="3441"/>
      <c r="O41" s="1340" t="str">
        <f>C46</f>
        <v>——</v>
      </c>
      <c r="P41" s="1910"/>
      <c r="V41" s="1910"/>
    </row>
    <row r="42" spans="1:26" ht="29.25">
      <c r="A42" s="3383" t="s">
        <v>2056</v>
      </c>
      <c r="B42" s="3384"/>
      <c r="C42" s="262">
        <f ca="1">C32</f>
        <v>20888</v>
      </c>
      <c r="D42" s="314">
        <f ca="1">C33</f>
        <v>21985</v>
      </c>
      <c r="E42" s="314" t="e">
        <f ca="1">C34</f>
        <v>#DIV/0!</v>
      </c>
      <c r="F42" s="315" t="e">
        <f ca="1">C35</f>
        <v>#DIV/0!</v>
      </c>
      <c r="G42" s="308"/>
      <c r="H42" s="308"/>
      <c r="I42" s="316"/>
      <c r="J42" s="1912"/>
      <c r="K42" s="1224" t="s">
        <v>361</v>
      </c>
      <c r="L42" s="1929" t="s">
        <v>362</v>
      </c>
      <c r="M42" s="1225" t="s">
        <v>363</v>
      </c>
      <c r="N42" s="1930" t="s">
        <v>364</v>
      </c>
      <c r="O42" s="1931" t="s">
        <v>365</v>
      </c>
      <c r="P42" s="1910"/>
      <c r="V42" s="1910"/>
    </row>
    <row r="43" spans="1:26" ht="30">
      <c r="A43" s="3394" t="s">
        <v>2711</v>
      </c>
      <c r="B43" s="3395"/>
      <c r="C43" s="262">
        <f>IF(H33="正常操作",G33+G34+G35,G34+G35)</f>
        <v>0</v>
      </c>
      <c r="D43" s="314" t="s">
        <v>43</v>
      </c>
      <c r="E43" s="314" t="s">
        <v>44</v>
      </c>
      <c r="F43" s="315" t="s">
        <v>44</v>
      </c>
      <c r="G43" s="2582" t="s">
        <v>943</v>
      </c>
      <c r="H43" s="308"/>
      <c r="I43" s="316"/>
      <c r="J43" s="1912"/>
      <c r="K43" s="1226" t="str">
        <f>C4</f>
        <v>剩余法-待开发</v>
      </c>
      <c r="L43" s="1227">
        <f ca="1">IF(L42="估价结果/万元",C19,C20)</f>
        <v>17474</v>
      </c>
      <c r="M43" s="1228">
        <f>C18</f>
        <v>0.6</v>
      </c>
      <c r="N43" s="1229">
        <f ca="1">IF(N42="测算结果/万元",G19,G20)</f>
        <v>20888</v>
      </c>
      <c r="O43" s="1230">
        <f ca="1">IF(O42="最终结果/万元",C32,C33)</f>
        <v>20888</v>
      </c>
      <c r="P43" s="1910"/>
      <c r="V43" s="1910"/>
    </row>
    <row r="44" spans="1:26" ht="18.75" thickBot="1">
      <c r="A44" s="3383" t="str">
        <f>IF(OR(项目基本情况!E8="抵押价格",项目基本情况!E8="已注销及未注销"),"3.抵押价格","——")</f>
        <v>——</v>
      </c>
      <c r="B44" s="3384"/>
      <c r="C44" s="262" t="str">
        <f>IF(A44="——","——",C42-C43)</f>
        <v>——</v>
      </c>
      <c r="D44" s="314" t="e">
        <f>ROUND(C44*10000/'数据-汇总表'!E3,0)</f>
        <v>#VALUE!</v>
      </c>
      <c r="E44" s="314" t="e">
        <f>ROUND(C44*10000/'数据-汇总表'!D3,0)</f>
        <v>#VALUE!</v>
      </c>
      <c r="F44" s="315" t="e">
        <f>ROUND(C44/('数据-汇总表'!D3/666.67),0)</f>
        <v>#VALUE!</v>
      </c>
      <c r="G44" s="308"/>
      <c r="H44" s="308"/>
      <c r="I44" s="316"/>
      <c r="J44" s="1912"/>
      <c r="K44" s="1231" t="str">
        <f>D4</f>
        <v>基准地价</v>
      </c>
      <c r="L44" s="1232">
        <f ca="1">IF(L42="估价结果/万元",D19,D20)</f>
        <v>26009</v>
      </c>
      <c r="M44" s="1233">
        <f>D18</f>
        <v>0.4</v>
      </c>
      <c r="N44" s="1234"/>
      <c r="O44" s="1235"/>
      <c r="P44" s="1910"/>
      <c r="V44" s="1910"/>
    </row>
    <row r="45" spans="1:26" ht="15">
      <c r="A45" s="3389" t="str">
        <f>IF(项目基本情况!E8="已注销及未注销","4.抵押担保权已注销时的抵押价格",IF(项目基本情况!E8="已注销","3.抵押担保权已注销时的抵押价格","——"))</f>
        <v>——</v>
      </c>
      <c r="B45" s="3390"/>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385" t="str">
        <f>IF(项目基本情况!E9="抵押净值",IF(A45="——","4.抵押净值","5.抵押净值"),"——")</f>
        <v>——</v>
      </c>
      <c r="B46" s="3386"/>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3" t="s">
        <v>368</v>
      </c>
      <c r="G53" s="334"/>
      <c r="H53" s="334"/>
      <c r="I53" s="335" t="s">
        <v>369</v>
      </c>
      <c r="J53" s="1913"/>
      <c r="K53" s="1910"/>
      <c r="L53" s="1910"/>
      <c r="M53" s="1910"/>
      <c r="N53" s="1910"/>
      <c r="O53" s="1910"/>
      <c r="P53" s="1910"/>
      <c r="Q53" s="1910"/>
      <c r="R53" s="1910"/>
      <c r="S53" s="1910"/>
      <c r="T53" s="1910"/>
      <c r="U53" s="1910"/>
      <c r="V53" s="1910"/>
    </row>
    <row r="54" spans="1:22" ht="12.75">
      <c r="A54" s="255"/>
      <c r="B54" s="336"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5"/>
      <c r="B57" s="336"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6"/>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6"/>
      <c r="C61" s="337"/>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33" t="s">
        <v>374</v>
      </c>
      <c r="B63" s="3434"/>
      <c r="C63" s="3435"/>
      <c r="D63" s="338">
        <f ca="1">ROUND(C42*F63,0)</f>
        <v>20888</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391" t="s">
        <v>378</v>
      </c>
      <c r="B64" s="3392"/>
      <c r="C64" s="3392"/>
      <c r="D64" s="3392"/>
      <c r="E64" s="3392"/>
      <c r="F64" s="3392"/>
      <c r="G64" s="3393"/>
      <c r="H64" s="1241"/>
      <c r="I64" s="936"/>
      <c r="J64" s="1901"/>
      <c r="K64" s="1498"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387" t="s">
        <v>386</v>
      </c>
      <c r="B66" s="3388"/>
      <c r="C66" s="3388"/>
      <c r="D66" s="259"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6"/>
      <c r="K66" s="1244">
        <v>1</v>
      </c>
      <c r="L66" s="3448" t="s">
        <v>385</v>
      </c>
      <c r="M66" s="3449"/>
      <c r="N66" s="2311"/>
      <c r="O66" s="2312"/>
      <c r="P66" s="2313"/>
      <c r="Q66" s="1910"/>
      <c r="R66" s="1910"/>
      <c r="S66" s="1910"/>
      <c r="T66" s="1910"/>
      <c r="U66" s="1910"/>
      <c r="V66" s="1910"/>
    </row>
    <row r="67" spans="1:22" ht="25.5" customHeight="1">
      <c r="A67" s="349" t="s">
        <v>389</v>
      </c>
      <c r="B67" s="3378" t="s">
        <v>390</v>
      </c>
      <c r="C67" s="3378"/>
      <c r="D67" s="350">
        <v>0</v>
      </c>
      <c r="E67" s="41" t="s">
        <v>391</v>
      </c>
      <c r="F67" s="62" t="s">
        <v>21</v>
      </c>
      <c r="G67" s="3436"/>
      <c r="H67" s="3005" t="s">
        <v>2965</v>
      </c>
      <c r="I67" s="3007"/>
      <c r="J67" s="1917"/>
      <c r="K67" s="1889">
        <v>2</v>
      </c>
      <c r="L67" s="3442" t="s">
        <v>388</v>
      </c>
      <c r="M67" s="3442"/>
      <c r="N67" s="1278">
        <f>'数据-取费表'!B2</f>
        <v>44371</v>
      </c>
      <c r="O67" s="1278"/>
      <c r="P67" s="1278"/>
      <c r="Q67" s="1910"/>
      <c r="R67" s="1910"/>
      <c r="S67" s="1910"/>
      <c r="T67" s="1910"/>
      <c r="U67" s="1910"/>
      <c r="V67" s="1910"/>
    </row>
    <row r="68" spans="1:22" ht="25.5" customHeight="1">
      <c r="A68" s="351"/>
      <c r="B68" s="3378" t="s">
        <v>393</v>
      </c>
      <c r="C68" s="3378"/>
      <c r="D68" s="352"/>
      <c r="E68" s="77"/>
      <c r="F68" s="353"/>
      <c r="G68" s="3437"/>
      <c r="H68" s="3006" t="s">
        <v>2966</v>
      </c>
      <c r="I68" s="3007"/>
      <c r="J68" s="1917"/>
      <c r="K68" s="1889">
        <v>3</v>
      </c>
      <c r="L68" s="3442" t="s">
        <v>392</v>
      </c>
      <c r="M68" s="3442"/>
      <c r="N68" s="1246">
        <f ca="1">C42</f>
        <v>20888</v>
      </c>
      <c r="O68" s="1246"/>
      <c r="P68" s="1246"/>
      <c r="Q68" s="1910"/>
      <c r="R68" s="1910"/>
      <c r="S68" s="1910"/>
      <c r="T68" s="1910"/>
      <c r="U68" s="1910"/>
      <c r="V68" s="1910"/>
    </row>
    <row r="69" spans="1:22" ht="23.45" customHeight="1">
      <c r="A69" s="354"/>
      <c r="B69" s="3378" t="s">
        <v>394</v>
      </c>
      <c r="C69" s="3378"/>
      <c r="D69" s="355"/>
      <c r="E69" s="73"/>
      <c r="F69" s="353"/>
      <c r="G69" s="3438"/>
      <c r="H69" s="3006" t="s">
        <v>2967</v>
      </c>
      <c r="I69" s="3007"/>
      <c r="J69" s="1917"/>
      <c r="K69" s="1247">
        <v>4</v>
      </c>
      <c r="L69" s="3452" t="s">
        <v>2863</v>
      </c>
      <c r="M69" s="3453"/>
      <c r="N69" s="1248" t="str">
        <f>C44</f>
        <v>——</v>
      </c>
      <c r="O69" s="1248"/>
      <c r="P69" s="1248"/>
      <c r="Q69" s="1910"/>
      <c r="R69" s="1910"/>
      <c r="S69" s="1910"/>
      <c r="T69" s="1910"/>
      <c r="U69" s="1910"/>
      <c r="V69" s="1910"/>
    </row>
    <row r="70" spans="1:22" ht="24" customHeight="1">
      <c r="A70" s="356" t="s">
        <v>395</v>
      </c>
      <c r="B70" s="3378" t="s">
        <v>396</v>
      </c>
      <c r="C70" s="3378"/>
      <c r="D70" s="355">
        <f ca="1">ROUND(D63*'数据-取费表'!B41/(1+'数据-取费表'!C42),0)</f>
        <v>1114</v>
      </c>
      <c r="E70" s="17" t="s">
        <v>397</v>
      </c>
      <c r="F70" s="357">
        <f>'数据-取费表'!B41</f>
        <v>5.6000000000000001E-2</v>
      </c>
      <c r="G70" s="358"/>
      <c r="H70" s="308"/>
      <c r="I70" s="1245"/>
      <c r="J70" s="1917"/>
      <c r="K70" s="2764"/>
      <c r="L70" s="2765"/>
      <c r="M70" s="2765"/>
      <c r="N70" s="2766" t="s">
        <v>2867</v>
      </c>
      <c r="O70" s="2765"/>
      <c r="P70" s="2767"/>
      <c r="Q70" s="1910"/>
      <c r="R70" s="1910"/>
      <c r="S70" s="1910"/>
      <c r="T70" s="1910"/>
      <c r="U70" s="1910"/>
      <c r="V70" s="1910"/>
    </row>
    <row r="71" spans="1:22" ht="12" customHeight="1">
      <c r="A71" s="356" t="s">
        <v>403</v>
      </c>
      <c r="B71" s="3379" t="s">
        <v>2996</v>
      </c>
      <c r="C71" s="3380"/>
      <c r="D71" s="355">
        <f ca="1">ROUND(D63*'数据-取费表'!B41/(1+'数据-取费表'!C42),0)</f>
        <v>1114</v>
      </c>
      <c r="E71" s="17" t="s">
        <v>397</v>
      </c>
      <c r="F71" s="357">
        <f>'数据-取费表'!B41</f>
        <v>5.6000000000000001E-2</v>
      </c>
      <c r="G71" s="358"/>
      <c r="H71" s="308"/>
      <c r="I71" s="1245"/>
      <c r="J71" s="1917"/>
      <c r="K71" s="2763" t="s">
        <v>398</v>
      </c>
      <c r="L71" s="3454" t="s">
        <v>399</v>
      </c>
      <c r="M71" s="3454"/>
      <c r="N71" s="2763" t="s">
        <v>400</v>
      </c>
      <c r="O71" s="2763" t="s">
        <v>401</v>
      </c>
      <c r="P71" s="2763" t="s">
        <v>402</v>
      </c>
      <c r="Q71" s="1910"/>
      <c r="R71" s="1910"/>
      <c r="S71" s="1910"/>
      <c r="T71" s="1910"/>
      <c r="U71" s="1910"/>
      <c r="V71" s="1910"/>
    </row>
    <row r="72" spans="1:22" ht="12" customHeight="1">
      <c r="A72" s="356" t="s">
        <v>405</v>
      </c>
      <c r="B72" s="3379" t="s">
        <v>2997</v>
      </c>
      <c r="C72" s="3380"/>
      <c r="D72" s="355">
        <f ca="1">C86</f>
        <v>1114</v>
      </c>
      <c r="E72" s="73" t="s">
        <v>406</v>
      </c>
      <c r="F72" s="357">
        <f>'数据-取费表'!B41</f>
        <v>5.6000000000000001E-2</v>
      </c>
      <c r="G72" s="358"/>
      <c r="H72" s="1251"/>
      <c r="I72" s="1245"/>
      <c r="J72" s="1917"/>
      <c r="K72" s="1889">
        <v>1</v>
      </c>
      <c r="L72" s="3429" t="s">
        <v>404</v>
      </c>
      <c r="M72" s="3429"/>
      <c r="N72" s="1249" t="b">
        <f>D66</f>
        <v>0</v>
      </c>
      <c r="O72" s="1772" t="str">
        <f>E66</f>
        <v>销售额×税（费）率</v>
      </c>
      <c r="P72" s="1250">
        <f>F66</f>
        <v>5.6000000000000001E-2</v>
      </c>
      <c r="Q72" s="1910"/>
      <c r="R72" s="1910"/>
      <c r="S72" s="1910"/>
      <c r="T72" s="1910"/>
      <c r="U72" s="1910"/>
      <c r="V72" s="1910"/>
    </row>
    <row r="73" spans="1:22" ht="24" customHeight="1">
      <c r="A73" s="3424" t="s">
        <v>408</v>
      </c>
      <c r="B73" s="3388"/>
      <c r="C73" s="3388"/>
      <c r="D73" s="359">
        <f ca="1">IF(H73="个人住宅",0,ROUND(D63*I73,0))</f>
        <v>10</v>
      </c>
      <c r="E73" s="17" t="s">
        <v>409</v>
      </c>
      <c r="F73" s="357" t="str">
        <f>IF(H73="正常",I73,"免征")</f>
        <v>免征</v>
      </c>
      <c r="G73" s="358"/>
      <c r="H73" s="189"/>
      <c r="I73" s="357">
        <f>'数据-取费表'!B49</f>
        <v>5.0000000000000001E-4</v>
      </c>
      <c r="J73" s="1917"/>
      <c r="K73" s="1889">
        <v>2</v>
      </c>
      <c r="L73" s="3429" t="s">
        <v>407</v>
      </c>
      <c r="M73" s="3429"/>
      <c r="N73" s="1249">
        <f t="shared" ref="N73:P74" ca="1" si="1">D73</f>
        <v>10</v>
      </c>
      <c r="O73" s="1772" t="str">
        <f t="shared" si="1"/>
        <v>销售额×税（费）率</v>
      </c>
      <c r="P73" s="1250" t="str">
        <f t="shared" si="1"/>
        <v>免征</v>
      </c>
      <c r="Q73" s="1910"/>
      <c r="R73" s="1910"/>
      <c r="S73" s="1910"/>
      <c r="T73" s="1910"/>
      <c r="U73" s="1910"/>
      <c r="V73" s="1910"/>
    </row>
    <row r="74" spans="1:22" ht="24.75">
      <c r="A74" s="3424" t="s">
        <v>411</v>
      </c>
      <c r="B74" s="3388"/>
      <c r="C74" s="3388"/>
      <c r="D74" s="359">
        <f ca="1">IF(H74="个人住宅",D75,D76)</f>
        <v>11823</v>
      </c>
      <c r="E74" s="17" t="s">
        <v>412</v>
      </c>
      <c r="F74" s="357" t="str">
        <f>IF(H74="正常",F76,"免征")</f>
        <v>免征</v>
      </c>
      <c r="G74" s="970" t="s">
        <v>413</v>
      </c>
      <c r="H74" s="360"/>
      <c r="I74" s="42"/>
      <c r="J74" s="1917"/>
      <c r="K74" s="1889">
        <v>3</v>
      </c>
      <c r="L74" s="3429" t="s">
        <v>410</v>
      </c>
      <c r="M74" s="3429"/>
      <c r="N74" s="1249">
        <f t="shared" ca="1" si="1"/>
        <v>11823</v>
      </c>
      <c r="O74" s="1772" t="str">
        <f t="shared" si="1"/>
        <v>增值额×税（费）率</v>
      </c>
      <c r="P74" s="1252" t="str">
        <f t="shared" si="1"/>
        <v>免征</v>
      </c>
      <c r="Q74" s="1910"/>
      <c r="R74" s="1910"/>
      <c r="S74" s="1910"/>
      <c r="T74" s="1910"/>
      <c r="U74" s="1910"/>
      <c r="V74" s="1910"/>
    </row>
    <row r="75" spans="1:22" ht="12.75">
      <c r="A75" s="356" t="s">
        <v>414</v>
      </c>
      <c r="B75" s="3376" t="s">
        <v>415</v>
      </c>
      <c r="C75" s="3412"/>
      <c r="D75" s="361">
        <v>0</v>
      </c>
      <c r="E75" s="41" t="s">
        <v>416</v>
      </c>
      <c r="F75" s="362"/>
      <c r="G75" s="358"/>
      <c r="H75" s="42"/>
      <c r="I75" s="42"/>
      <c r="J75" s="1917"/>
      <c r="K75" s="2757">
        <f>IF(H77="非个人房产","",4)</f>
        <v>4</v>
      </c>
      <c r="L75" s="3429" t="str">
        <f>IF(H77="非个人房产","——","个人所得税")</f>
        <v>个人所得税</v>
      </c>
      <c r="M75" s="3429"/>
      <c r="N75" s="1253">
        <f>D77</f>
        <v>0</v>
      </c>
      <c r="O75" s="1785" t="str">
        <f>E77</f>
        <v>差额计税</v>
      </c>
      <c r="P75" s="1254">
        <f>F77</f>
        <v>0.01</v>
      </c>
      <c r="Q75" s="1910"/>
      <c r="R75" s="1910"/>
      <c r="S75" s="1910"/>
      <c r="T75" s="1910"/>
      <c r="U75" s="1910"/>
      <c r="V75" s="1910"/>
    </row>
    <row r="76" spans="1:22" ht="24.75">
      <c r="A76" s="356" t="s">
        <v>395</v>
      </c>
      <c r="B76" s="3376" t="s">
        <v>418</v>
      </c>
      <c r="C76" s="3377"/>
      <c r="D76" s="359">
        <f ca="1">IF(H76="转让取得",C99,C115)</f>
        <v>11823</v>
      </c>
      <c r="E76" s="17" t="s">
        <v>419</v>
      </c>
      <c r="F76" s="53" t="s">
        <v>21</v>
      </c>
      <c r="G76" s="358"/>
      <c r="H76" s="360"/>
      <c r="I76" s="42"/>
      <c r="J76" s="1917"/>
      <c r="K76" s="2757" t="str">
        <f>IF(项目基本情况!K6="上海银行",IF(K75="",4,K75+1),"")</f>
        <v/>
      </c>
      <c r="L76" s="3444" t="str">
        <f>IF(项目基本情况!K6="上海银行","其他处置费用","")</f>
        <v/>
      </c>
      <c r="M76" s="3445"/>
      <c r="N76" s="1249" t="str">
        <f>IF(项目基本情况!K6="上海银行",N89,"")</f>
        <v/>
      </c>
      <c r="O76" s="3446" t="str">
        <f>IF(项目基本情况!K6="上海银行","包含处置中涉及的律师、诉讼、拍卖、评估等费用","")</f>
        <v/>
      </c>
      <c r="P76" s="3447"/>
      <c r="Q76" s="1910"/>
      <c r="R76" s="1910"/>
      <c r="S76" s="1910"/>
      <c r="T76" s="1910"/>
      <c r="U76" s="1910"/>
      <c r="V76" s="1910"/>
    </row>
    <row r="77" spans="1:22" ht="24.75" thickBot="1">
      <c r="A77" s="3431" t="s">
        <v>421</v>
      </c>
      <c r="B77" s="3432"/>
      <c r="C77" s="3432"/>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2968</v>
      </c>
      <c r="J77" s="1917"/>
      <c r="K77" s="3430">
        <f>IF(AND(K75="",K76=""),4,IF(项目基本情况!K6="上海银行",K76+1,K75+1))</f>
        <v>5</v>
      </c>
      <c r="L77" s="3429" t="s">
        <v>2864</v>
      </c>
      <c r="M77" s="2762" t="s">
        <v>417</v>
      </c>
      <c r="N77" s="1255"/>
      <c r="O77" s="1256">
        <f ca="1">SUMIF(N72:N76,"&lt;9e307")</f>
        <v>11833</v>
      </c>
      <c r="P77" s="1257"/>
      <c r="Q77" s="2760" t="e">
        <f ca="1">O77/N69</f>
        <v>#VALUE!</v>
      </c>
      <c r="R77" s="1910"/>
      <c r="S77" s="1910"/>
      <c r="T77" s="1910"/>
      <c r="U77" s="1910"/>
      <c r="V77" s="1910"/>
    </row>
    <row r="78" spans="1:22" ht="12" customHeight="1">
      <c r="A78" s="1258"/>
      <c r="B78" s="308"/>
      <c r="C78" s="308"/>
      <c r="D78" s="308"/>
      <c r="E78" s="42"/>
      <c r="F78" s="42"/>
      <c r="G78" s="42"/>
      <c r="H78" s="990"/>
      <c r="I78" s="308"/>
      <c r="J78" s="1917"/>
      <c r="K78" s="3430"/>
      <c r="L78" s="3429"/>
      <c r="M78" s="2762" t="s">
        <v>420</v>
      </c>
      <c r="N78" s="1255"/>
      <c r="O78" s="1256" t="str">
        <f ca="1">NUMBERSTRING(INT(O77*10000),2)&amp;"元整"</f>
        <v>壹亿壹仟捌佰叁拾叁万元整</v>
      </c>
      <c r="P78" s="1257"/>
      <c r="Q78" s="1910"/>
      <c r="R78" s="1910"/>
      <c r="S78" s="1910"/>
      <c r="T78" s="1910"/>
      <c r="U78" s="1910"/>
      <c r="V78" s="1910"/>
    </row>
    <row r="79" spans="1:22" ht="13.5" thickBot="1">
      <c r="A79" s="3396" t="s">
        <v>422</v>
      </c>
      <c r="B79" s="3396"/>
      <c r="C79" s="3396"/>
      <c r="D79" s="3396"/>
      <c r="E79" s="3396"/>
      <c r="F79" s="42"/>
      <c r="G79" s="42"/>
      <c r="H79" s="990"/>
      <c r="I79" s="308"/>
      <c r="J79" s="1917"/>
      <c r="K79" s="3450">
        <f>K77+1</f>
        <v>6</v>
      </c>
      <c r="L79" s="3429" t="s">
        <v>2865</v>
      </c>
      <c r="M79" s="2762" t="s">
        <v>417</v>
      </c>
      <c r="N79" s="1255"/>
      <c r="O79" s="1256" t="e">
        <f ca="1">N69-O77</f>
        <v>#VALUE!</v>
      </c>
      <c r="P79" s="1257"/>
      <c r="Q79" s="1910"/>
      <c r="R79" s="1910"/>
      <c r="S79" s="1910"/>
      <c r="T79" s="1910"/>
      <c r="U79" s="1910"/>
      <c r="V79" s="1910"/>
    </row>
    <row r="80" spans="1:22" ht="12.75">
      <c r="A80" s="3397" t="s">
        <v>423</v>
      </c>
      <c r="B80" s="3398"/>
      <c r="C80" s="981"/>
      <c r="D80" s="981" t="s">
        <v>424</v>
      </c>
      <c r="E80" s="363" t="s">
        <v>425</v>
      </c>
      <c r="F80" s="42"/>
      <c r="G80" s="42"/>
      <c r="H80" s="990"/>
      <c r="I80" s="308"/>
      <c r="J80" s="1910"/>
      <c r="K80" s="3451"/>
      <c r="L80" s="3429"/>
      <c r="M80" s="2762" t="s">
        <v>420</v>
      </c>
      <c r="N80" s="1255"/>
      <c r="O80" s="1256" t="e">
        <f ca="1">NUMBERSTRING(INT(O79*10000),2)&amp;"元整"</f>
        <v>#VALUE!</v>
      </c>
      <c r="P80" s="1257"/>
      <c r="Q80" s="1910"/>
      <c r="R80" s="1910"/>
      <c r="S80" s="1910"/>
      <c r="T80" s="1910"/>
      <c r="U80" s="1910"/>
      <c r="V80" s="1910"/>
    </row>
    <row r="81" spans="1:26" ht="13.5" thickBot="1">
      <c r="A81" s="374" t="s">
        <v>1814</v>
      </c>
      <c r="B81" s="364" t="s">
        <v>426</v>
      </c>
      <c r="C81" s="365">
        <f ca="1">ROUND((C82+C83)/(1+'数据-取费表'!C42),0)</f>
        <v>19893</v>
      </c>
      <c r="D81" s="366"/>
      <c r="E81" s="367"/>
      <c r="F81" s="42"/>
      <c r="G81" s="42"/>
      <c r="H81" s="990"/>
      <c r="I81" s="308"/>
      <c r="J81" s="1910"/>
      <c r="K81" s="2757">
        <f>K79+1</f>
        <v>7</v>
      </c>
      <c r="L81" s="3427" t="s">
        <v>2866</v>
      </c>
      <c r="M81" s="3428"/>
      <c r="N81" s="1259"/>
      <c r="O81" s="1260" t="e">
        <f ca="1">ROUND(O79*10000/'数据-汇总表'!E3,0)</f>
        <v>#VALUE!</v>
      </c>
      <c r="P81" s="1261"/>
      <c r="Q81" s="1910"/>
      <c r="R81" s="1910"/>
      <c r="S81" s="1910"/>
      <c r="T81" s="1910"/>
      <c r="U81" s="1910"/>
      <c r="V81" s="1910"/>
    </row>
    <row r="82" spans="1:26" ht="13.5" thickTop="1">
      <c r="A82" s="368" t="s">
        <v>1815</v>
      </c>
      <c r="B82" s="369" t="s">
        <v>427</v>
      </c>
      <c r="C82" s="370">
        <f ca="1">D63</f>
        <v>20888</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1816</v>
      </c>
      <c r="B83" s="369" t="s">
        <v>428</v>
      </c>
      <c r="C83" s="373"/>
      <c r="D83" s="371"/>
      <c r="E83" s="372"/>
      <c r="F83" s="42"/>
      <c r="G83" s="42"/>
      <c r="H83" s="990"/>
      <c r="I83" s="308"/>
      <c r="J83" s="1910"/>
      <c r="K83" s="3443" t="s">
        <v>2854</v>
      </c>
      <c r="L83" s="2768" t="s">
        <v>2855</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4" t="s">
        <v>1817</v>
      </c>
      <c r="B84" s="375" t="s">
        <v>429</v>
      </c>
      <c r="C84" s="376"/>
      <c r="D84" s="377" t="s">
        <v>19</v>
      </c>
      <c r="E84" s="2786" t="s">
        <v>2909</v>
      </c>
      <c r="F84" s="42"/>
      <c r="G84" s="42"/>
      <c r="H84" s="990"/>
      <c r="I84" s="308"/>
      <c r="J84" s="1910"/>
      <c r="K84" s="3443"/>
      <c r="L84" s="2768" t="s">
        <v>2856</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2857</v>
      </c>
      <c r="P84" s="1910"/>
      <c r="Q84" s="1910"/>
      <c r="R84" s="1910"/>
      <c r="S84" s="1910"/>
      <c r="T84" s="1910"/>
      <c r="U84" s="1910"/>
      <c r="V84" s="1910"/>
    </row>
    <row r="85" spans="1:26" ht="12.75">
      <c r="A85" s="374" t="s">
        <v>1818</v>
      </c>
      <c r="B85" s="375" t="s">
        <v>430</v>
      </c>
      <c r="C85" s="378">
        <f ca="1">C81-C84</f>
        <v>19893</v>
      </c>
      <c r="D85" s="371" t="s">
        <v>19</v>
      </c>
      <c r="E85" s="372"/>
      <c r="F85" s="42"/>
      <c r="G85" s="42"/>
      <c r="H85" s="990"/>
      <c r="I85" s="308"/>
      <c r="J85" s="1910"/>
      <c r="K85" s="3443"/>
      <c r="L85" s="2768" t="s">
        <v>2858</v>
      </c>
      <c r="M85" s="2758" t="e">
        <f>IF(N69&gt;1000,N69*0.1%,IF(AND(N69&gt;500,N69&lt;=1000),N69*0.5%,IF(AND(N69&gt;50,N69&lt;=500),N69*1%,IF(AND(N69&gt;1,N69&lt;=50),N69*1.5%))))</f>
        <v>#VALUE!</v>
      </c>
      <c r="N85" s="53" t="e">
        <f t="shared" si="2"/>
        <v>#VALUE!</v>
      </c>
      <c r="O85" s="1910" t="s">
        <v>2857</v>
      </c>
      <c r="P85" s="1910"/>
      <c r="Q85" s="1910"/>
      <c r="R85" s="1910"/>
      <c r="S85" s="1910"/>
      <c r="T85" s="1910"/>
      <c r="U85" s="1910"/>
      <c r="V85" s="1910"/>
    </row>
    <row r="86" spans="1:26" ht="13.5" thickBot="1">
      <c r="A86" s="379" t="s">
        <v>1819</v>
      </c>
      <c r="B86" s="380" t="s">
        <v>431</v>
      </c>
      <c r="C86" s="381">
        <f ca="1">IF(C85&lt;=0,0,ROUND(C85*D86,0))</f>
        <v>1114</v>
      </c>
      <c r="D86" s="382">
        <f>'数据-取费表'!B41</f>
        <v>5.6000000000000001E-2</v>
      </c>
      <c r="E86" s="383"/>
      <c r="F86" s="42"/>
      <c r="G86" s="42"/>
      <c r="H86" s="990"/>
      <c r="I86" s="308"/>
      <c r="J86" s="1910"/>
      <c r="K86" s="3443"/>
      <c r="L86" s="2768" t="s">
        <v>2859</v>
      </c>
      <c r="M86" s="2758" t="e">
        <f>N69*0.5%</f>
        <v>#VALUE!</v>
      </c>
      <c r="N86" s="53" t="e">
        <f>IF(M86&gt;0.5,0.5,ROUND(M86,0))</f>
        <v>#VALUE!</v>
      </c>
      <c r="O86" s="1910" t="s">
        <v>2860</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43"/>
      <c r="L87" s="2768" t="s">
        <v>2861</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89"/>
      <c r="X87" s="289"/>
      <c r="Y87" s="289"/>
      <c r="Z87" s="289"/>
    </row>
    <row r="88" spans="1:26" s="1267" customFormat="1" ht="15" thickBot="1">
      <c r="A88" s="3422" t="s">
        <v>432</v>
      </c>
      <c r="B88" s="3423"/>
      <c r="C88" s="3423"/>
      <c r="D88" s="3423"/>
      <c r="E88" s="3423"/>
      <c r="F88" s="3423"/>
      <c r="G88" s="3423"/>
      <c r="H88" s="3423"/>
      <c r="I88" s="1268"/>
      <c r="J88" s="1918"/>
      <c r="K88" s="3443"/>
      <c r="L88" s="2768" t="s">
        <v>2862</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397" t="s">
        <v>423</v>
      </c>
      <c r="B89" s="3398"/>
      <c r="C89" s="981"/>
      <c r="D89" s="981" t="s">
        <v>424</v>
      </c>
      <c r="E89" s="384" t="s">
        <v>433</v>
      </c>
      <c r="F89" s="385"/>
      <c r="G89" s="385"/>
      <c r="H89" s="386"/>
      <c r="I89" s="1269"/>
      <c r="J89" s="1920"/>
      <c r="K89" s="3443"/>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4" t="s">
        <v>1814</v>
      </c>
      <c r="B90" s="375" t="s">
        <v>434</v>
      </c>
      <c r="C90" s="378">
        <f ca="1">ROUND(D63/(1+'数据-取费表'!C42),0)</f>
        <v>19893</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1820</v>
      </c>
      <c r="B91" s="345" t="s">
        <v>435</v>
      </c>
      <c r="C91" s="378">
        <f ca="1">C92+C96</f>
        <v>119</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1822</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1823</v>
      </c>
      <c r="B94" s="393" t="s">
        <v>440</v>
      </c>
      <c r="C94" s="371">
        <f>IF(F93="购房发票",ROUND(C93*H93*5%,0),0)</f>
        <v>0</v>
      </c>
      <c r="D94" s="394">
        <v>0.05</v>
      </c>
      <c r="E94" s="3379" t="s">
        <v>441</v>
      </c>
      <c r="F94" s="3378"/>
      <c r="G94" s="3378"/>
      <c r="H94" s="3421"/>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1825</v>
      </c>
      <c r="B96" s="369" t="s">
        <v>444</v>
      </c>
      <c r="C96" s="398">
        <f ca="1">ROUND(D63*D96/(1+'数据-取费表'!C42),0)</f>
        <v>119</v>
      </c>
      <c r="D96" s="399">
        <f>'数据-取费表'!B43</f>
        <v>6.000000000000001E-3</v>
      </c>
      <c r="E96" s="3413" t="s">
        <v>2413</v>
      </c>
      <c r="F96" s="3414"/>
      <c r="G96" s="3414"/>
      <c r="H96" s="3415"/>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5" t="s">
        <v>445</v>
      </c>
      <c r="C97" s="378">
        <f ca="1">C90-C91</f>
        <v>19774</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5" t="s">
        <v>446</v>
      </c>
      <c r="C98" s="400">
        <f ca="1">IF(C97&lt;=0,0,C97/C91)</f>
        <v>166.16806722689077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0" t="s">
        <v>447</v>
      </c>
      <c r="C99" s="401">
        <f ca="1">ROUND(IF(C97&lt;=0,0,IF(C98&gt;=200%,C97*60%-C91*35%,IF(C98&gt;=100%,C97*50%-C91*15%,IF(C98&gt;=50%,C97*40%-C91*5%,IF(C98&lt;50%,C97*30%,0))))),0)</f>
        <v>11823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22" t="s">
        <v>448</v>
      </c>
      <c r="B101" s="3423"/>
      <c r="C101" s="3423"/>
      <c r="D101" s="3423"/>
      <c r="E101" s="3423"/>
      <c r="F101" s="3423"/>
      <c r="G101" s="3423"/>
      <c r="H101" s="3423"/>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397" t="s">
        <v>423</v>
      </c>
      <c r="B102" s="3398"/>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1814</v>
      </c>
      <c r="B103" s="375" t="s">
        <v>434</v>
      </c>
      <c r="C103" s="378">
        <f ca="1">ROUND(D63/(1+'数据-取费表'!C42),0)</f>
        <v>19893</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1820</v>
      </c>
      <c r="B104" s="345" t="s">
        <v>435</v>
      </c>
      <c r="C104" s="378">
        <f ca="1">IF(H106="仅含出让金",C105+C108+C109+C110+C111+C112,C105+C109+C110+C111+C112)</f>
        <v>119</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1821</v>
      </c>
      <c r="B105" s="369" t="s">
        <v>449</v>
      </c>
      <c r="C105" s="398">
        <f>C106+C107</f>
        <v>0</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1822</v>
      </c>
      <c r="B106" s="369" t="s">
        <v>450</v>
      </c>
      <c r="C106" s="409"/>
      <c r="D106" s="399"/>
      <c r="E106" s="410" t="s">
        <v>451</v>
      </c>
      <c r="F106" s="973"/>
      <c r="G106" s="411" t="s">
        <v>452</v>
      </c>
      <c r="H106" s="412"/>
      <c r="I106" s="11"/>
      <c r="J106" s="1915"/>
      <c r="K106" s="3243" t="s">
        <v>2989</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1825</v>
      </c>
      <c r="B108" s="369" t="s">
        <v>454</v>
      </c>
      <c r="C108" s="409"/>
      <c r="D108" s="399"/>
      <c r="E108" s="410" t="str">
        <f>IF(H106="-","土地取得成本中已包含该笔费用"," ")</f>
        <v xml:space="preserve"> </v>
      </c>
      <c r="F108" s="973"/>
      <c r="G108" s="3373" t="s">
        <v>2960</v>
      </c>
      <c r="H108" s="3374"/>
      <c r="I108" s="2858"/>
      <c r="J108" s="1915"/>
      <c r="K108" s="3243" t="s">
        <v>2990</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69" t="s">
        <v>455</v>
      </c>
      <c r="C109" s="398">
        <f>IF(H109="——",IF(F1="现房",'剩余法-现房'!C18,0),I109)</f>
        <v>0</v>
      </c>
      <c r="D109" s="399"/>
      <c r="E109" s="3416" t="s">
        <v>456</v>
      </c>
      <c r="F109" s="3414"/>
      <c r="G109" s="3414"/>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69" t="s">
        <v>457</v>
      </c>
      <c r="C110" s="398">
        <f>ROUND((C105+C108+C109)*D110,0)</f>
        <v>0</v>
      </c>
      <c r="D110" s="3274">
        <v>0</v>
      </c>
      <c r="E110" s="3416" t="s">
        <v>458</v>
      </c>
      <c r="F110" s="3414"/>
      <c r="G110" s="3414"/>
      <c r="H110" s="3415"/>
      <c r="I110" s="11"/>
      <c r="J110" s="1915"/>
      <c r="K110" s="3244" t="s">
        <v>2991</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69" t="s">
        <v>444</v>
      </c>
      <c r="C111" s="398">
        <f ca="1">ROUND(D63*D111/(1+'数据-取费表'!C42),0)</f>
        <v>119</v>
      </c>
      <c r="D111" s="399">
        <f>'数据-取费表'!B43</f>
        <v>6.000000000000001E-3</v>
      </c>
      <c r="E111" s="3413" t="s">
        <v>2413</v>
      </c>
      <c r="F111" s="3414"/>
      <c r="G111" s="3414"/>
      <c r="H111" s="3415"/>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69" t="s">
        <v>459</v>
      </c>
      <c r="C112" s="398">
        <f>ROUND(C108*D112,0)</f>
        <v>0</v>
      </c>
      <c r="D112" s="399">
        <v>0.2</v>
      </c>
      <c r="E112" s="3416" t="s">
        <v>2436</v>
      </c>
      <c r="F112" s="3414"/>
      <c r="G112" s="3414"/>
      <c r="H112" s="3415"/>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5" t="s">
        <v>445</v>
      </c>
      <c r="C113" s="378">
        <f ca="1">ROUND(C103-C104,0)</f>
        <v>19774</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5" t="s">
        <v>446</v>
      </c>
      <c r="C114" s="400">
        <f ca="1">IF(C113&lt;=0,0,C113/C104)</f>
        <v>166.16806722689077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0" t="s">
        <v>447</v>
      </c>
      <c r="C115" s="401">
        <f ca="1">ROUND(IF(C113&lt;=0,0,IF(C114&gt;=200%,C113*60%-C104*35%,IF(C114&gt;=100%,C113*50%-C104*15%,IF(C114&gt;=50%,C113*40%-C104*5%,IF(C114&lt;50%,C113*30%,0))))),0)</f>
        <v>11823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
  <sheetViews>
    <sheetView workbookViewId="0">
      <selection activeCell="C4" sqref="C4:D4"/>
    </sheetView>
  </sheetViews>
  <sheetFormatPr defaultRowHeight="13.5"/>
  <sheetData>
    <row r="1" spans="2:4">
      <c r="B1" s="3279" t="s">
        <v>3018</v>
      </c>
      <c r="C1" s="3280" t="str">
        <f>结果表!D4</f>
        <v>基准地价</v>
      </c>
      <c r="D1" s="3279" t="s">
        <v>3019</v>
      </c>
    </row>
    <row r="2" spans="2:4">
      <c r="B2" s="3280">
        <v>3.5</v>
      </c>
      <c r="C2" s="3280">
        <v>30748</v>
      </c>
      <c r="D2" s="3280">
        <f ca="1">结果表!C20</f>
        <v>18392</v>
      </c>
    </row>
    <row r="3" spans="2:4">
      <c r="B3" s="3280">
        <v>5</v>
      </c>
      <c r="C3" s="3280">
        <v>28242</v>
      </c>
      <c r="D3" s="3280">
        <f ca="1">D2</f>
        <v>18392</v>
      </c>
    </row>
    <row r="4" spans="2:4">
      <c r="B4" s="3280">
        <v>6</v>
      </c>
      <c r="C4" s="3280">
        <v>27375</v>
      </c>
      <c r="D4" s="3280">
        <f ca="1">D2</f>
        <v>18392</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t="s">
        <v>1668</v>
      </c>
      <c r="C1" s="1985"/>
      <c r="D1" s="1985"/>
      <c r="E1" s="1985"/>
      <c r="F1" s="1985"/>
      <c r="G1" s="1985"/>
      <c r="H1" s="1985"/>
      <c r="I1" s="1985"/>
      <c r="J1" s="1985"/>
      <c r="K1" s="415">
        <f>MATCH(B1,'数据-取费表'!A6:A16,0)+5</f>
        <v>6</v>
      </c>
      <c r="L1" s="289"/>
      <c r="M1" s="289"/>
      <c r="N1" s="289"/>
      <c r="O1" s="289"/>
      <c r="P1" s="289"/>
      <c r="Q1" s="289"/>
      <c r="R1" s="289"/>
      <c r="S1" s="289"/>
      <c r="T1" s="289"/>
      <c r="U1" s="289"/>
      <c r="V1" s="289"/>
      <c r="W1" s="289"/>
      <c r="X1" s="289"/>
      <c r="Y1" s="289"/>
      <c r="Z1" s="289"/>
    </row>
    <row r="2" spans="1:31" s="1923" customFormat="1" ht="18" customHeight="1">
      <c r="A2" s="1982" t="s">
        <v>461</v>
      </c>
      <c r="B2" s="1986">
        <f ca="1">C36</f>
        <v>17474</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1675</v>
      </c>
      <c r="B3" s="1988">
        <f ca="1">ROUND(B2*10000/IF(B1="",'数据-汇总表'!E3,INDIRECT("'数据-取费表'!K"&amp;$K$1)),0)</f>
        <v>18392</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t="e">
        <f ca="1">ROUND(B2*10000/IF(B1="",'数据-汇总表'!D3,INDIRECT("'数据-取费表'!R"&amp;$K$1)),0)</f>
        <v>#DIV/0!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t="e">
        <f ca="1">ROUND(B2/(IF(B1="",'数据-汇总表'!D3,INDIRECT("'数据-取费表'!R"&amp;$K$1))/666.67),0)</f>
        <v>#DIV/0!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1833</v>
      </c>
      <c r="B6" s="2545"/>
      <c r="C6" s="2546">
        <f>SUM(C10:K10)</f>
        <v>32113</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29" t="s">
        <v>1668</v>
      </c>
      <c r="D7" s="429"/>
      <c r="E7" s="429"/>
      <c r="F7" s="429"/>
      <c r="G7" s="429"/>
      <c r="H7" s="429"/>
      <c r="I7" s="429"/>
      <c r="J7" s="429"/>
      <c r="K7" s="430"/>
      <c r="AA7" s="1993"/>
      <c r="AB7" s="1993"/>
      <c r="AC7" s="1993"/>
      <c r="AD7" s="1993"/>
      <c r="AE7" s="1993"/>
    </row>
    <row r="8" spans="1:31" s="1996" customFormat="1" ht="13.5" customHeight="1">
      <c r="A8" s="792" t="s">
        <v>1836</v>
      </c>
      <c r="B8" s="259" t="s">
        <v>466</v>
      </c>
      <c r="C8" s="2550">
        <v>33800</v>
      </c>
      <c r="D8" s="2550"/>
      <c r="E8" s="2550"/>
      <c r="F8" s="2550"/>
      <c r="G8" s="2550"/>
      <c r="H8" s="2550"/>
      <c r="I8" s="2550"/>
      <c r="J8" s="2550"/>
      <c r="K8" s="2551"/>
      <c r="AA8" s="1995"/>
      <c r="AB8" s="1995"/>
      <c r="AC8" s="1995"/>
      <c r="AD8" s="1995"/>
      <c r="AE8" s="1995"/>
    </row>
    <row r="9" spans="1:31" s="1996" customFormat="1" ht="13.5" customHeight="1">
      <c r="A9" s="792" t="s">
        <v>1837</v>
      </c>
      <c r="B9" s="259" t="s">
        <v>467</v>
      </c>
      <c r="C9" s="434">
        <f>SUMIF('数据-汇总表'!$C19:$C33,'剩余法-待开发'!C7,'数据-汇总表'!$E19:$E33)</f>
        <v>9501</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1838</v>
      </c>
      <c r="B10" s="2538" t="s">
        <v>468</v>
      </c>
      <c r="C10" s="2741">
        <f>ROUND(C9*C8/10000,0)</f>
        <v>32113</v>
      </c>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1839</v>
      </c>
      <c r="B13" s="2559" t="s">
        <v>473</v>
      </c>
      <c r="C13" s="443">
        <f ca="1">IF(B1="",'数据-取费表'!P16,INDIRECT("'数据-取费表'!p"&amp;$K$1)+INDIRECT("'数据-取费表'!t"&amp;$K$1))</f>
        <v>3800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114</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238</v>
      </c>
      <c r="D16" s="2560">
        <f ca="1">IF(B1="",'数据-汇总表'!E3,INDIRECT("'数据-取费表'!K"&amp;$K$1)+INDIRECT("'数据-取费表'!S"&amp;$K$1))</f>
        <v>9501</v>
      </c>
      <c r="E16" s="53">
        <f>'数据-取费表'!B35</f>
        <v>250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57</v>
      </c>
      <c r="D17" s="468"/>
      <c r="E17" s="2564"/>
      <c r="F17" s="2565">
        <f>'数据-取费表'!B36</f>
        <v>1.4999999999999999E-2</v>
      </c>
      <c r="G17" s="259"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4209</v>
      </c>
      <c r="D18" s="2569"/>
      <c r="E18" s="461"/>
      <c r="F18" s="461"/>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9501</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190</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0</v>
      </c>
      <c r="D21" s="2560">
        <f ca="1">IF(B1="",'数据-汇总表'!E5,IF(INDIRECT("'数据-取费表'!c"&amp;$K$1)="住宅",INDIRECT("'数据-取费表'!k"&amp;$K$1),0))</f>
        <v>0</v>
      </c>
      <c r="E21" s="53">
        <f>'数据-取费表'!B27</f>
        <v>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190</v>
      </c>
      <c r="D22" s="2560">
        <f ca="1">IF(B1="",'数据-汇总表'!E6,IF(INDIRECT("'数据-取费表'!c"&amp;$K$1)="住宅",INDIRECT("'数据-取费表'!s"&amp;$K$1),INDIRECT("'数据-取费表'!k"&amp;$K$1)+INDIRECT("'数据-取费表'!s"&amp;$K$1)))</f>
        <v>9501</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2814</v>
      </c>
      <c r="C23" s="2568">
        <f ca="1">ROUND((C18+C19+C20)*F23,0)</f>
        <v>88</v>
      </c>
      <c r="D23" s="461"/>
      <c r="E23" s="461"/>
      <c r="F23" s="2572">
        <f>'数据-取费表'!B37</f>
        <v>0.02</v>
      </c>
      <c r="G23" s="2528" t="s">
        <v>2415</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1850</v>
      </c>
      <c r="B24" s="2747" t="s">
        <v>2817</v>
      </c>
      <c r="C24" s="2568">
        <f>ROUND(C6*F24,0)</f>
        <v>642</v>
      </c>
      <c r="D24" s="468"/>
      <c r="E24" s="466"/>
      <c r="F24" s="2572">
        <f>'数据-取费表'!B38</f>
        <v>0.02</v>
      </c>
      <c r="G24" s="2537" t="s">
        <v>493</v>
      </c>
      <c r="H24" s="2531"/>
      <c r="I24" s="2531"/>
      <c r="J24" s="2531"/>
      <c r="K24" s="276"/>
      <c r="L24" s="3198"/>
      <c r="M24" s="3198"/>
      <c r="N24" s="3198"/>
      <c r="O24" s="1998"/>
      <c r="P24" s="1998"/>
      <c r="Q24" s="1998"/>
      <c r="R24" s="1998"/>
      <c r="S24" s="1998"/>
      <c r="T24" s="1998"/>
      <c r="U24" s="1998"/>
      <c r="V24" s="1998"/>
      <c r="W24" s="1998"/>
      <c r="X24" s="1998"/>
      <c r="Y24" s="1998"/>
      <c r="Z24" s="1998"/>
    </row>
    <row r="25" spans="1:26" s="2000" customFormat="1" ht="13.5" customHeight="1">
      <c r="A25" s="2566" t="s">
        <v>1851</v>
      </c>
      <c r="B25" s="2747" t="s">
        <v>2815</v>
      </c>
      <c r="C25" s="3275">
        <f>F25</f>
        <v>3.0499999999999999E-2</v>
      </c>
      <c r="D25" s="455" t="s">
        <v>2809</v>
      </c>
      <c r="E25" s="462"/>
      <c r="F25" s="2572">
        <f>'数据-取费表'!B48+'数据-取费表'!B49</f>
        <v>3.0499999999999999E-2</v>
      </c>
      <c r="G25" s="2536" t="s">
        <v>2277</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1852</v>
      </c>
      <c r="B26" s="2748" t="s">
        <v>2816</v>
      </c>
      <c r="C26" s="2573">
        <f ca="1">C28</f>
        <v>182</v>
      </c>
      <c r="D26" s="460">
        <f ca="1">C27</f>
        <v>7.4300000000000005E-2</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2" t="s">
        <v>1847</v>
      </c>
      <c r="B27" s="2574" t="s">
        <v>490</v>
      </c>
      <c r="C27" s="2575">
        <f ca="1">ROUND(IF('数据-取费表'!B22&lt;=1,(1+C25)*F26*'数据-取费表'!B24,(1+C25)*(POWER((1+F26),'数据-取费表'!B24)-1)),4)</f>
        <v>7.4300000000000005E-2</v>
      </c>
      <c r="D27" s="465"/>
      <c r="E27" s="466"/>
      <c r="F27" s="467"/>
      <c r="G27" s="2423" t="str">
        <f>IF('数据-取费表'!B22&lt;=1,"（1+取得税费率/(1+5%)）×年利率×建设期","（1+取得税费率）/(1+5%)×((1+年利率)^建设期-1)")</f>
        <v>（1+取得税费率）/(1+5%)×((1+年利率)^建设期-1)</v>
      </c>
      <c r="H27" s="2531"/>
      <c r="I27" s="2531"/>
      <c r="J27" s="2531"/>
      <c r="K27" s="276"/>
      <c r="L27" s="3200"/>
      <c r="M27" s="3200"/>
      <c r="N27" s="3200"/>
      <c r="O27" s="3200"/>
      <c r="P27" s="3200"/>
      <c r="Q27" s="3200"/>
      <c r="R27" s="3200"/>
      <c r="S27" s="3200"/>
      <c r="T27" s="3200"/>
      <c r="U27" s="3200"/>
      <c r="V27" s="3200"/>
      <c r="W27" s="3200"/>
      <c r="X27" s="3200"/>
      <c r="Y27" s="3200"/>
      <c r="Z27" s="3200"/>
    </row>
    <row r="28" spans="1:26" s="2001" customFormat="1" ht="13.5" customHeight="1">
      <c r="A28" s="792" t="s">
        <v>1848</v>
      </c>
      <c r="B28" s="2574" t="s">
        <v>2818</v>
      </c>
      <c r="C28" s="2576">
        <f ca="1">ROUND(IF('数据-取费表'!B22&lt;=1,(C18+C19+C20+C23+C24)*F26*'数据-取费表'!B24/2,(C18+C19+C20+C23+C24)*(POWER((1+F26),'数据-取费表'!B24/2)-1)),0)</f>
        <v>182</v>
      </c>
      <c r="D28" s="465"/>
      <c r="E28" s="466"/>
      <c r="F28" s="467"/>
      <c r="G28" s="2423" t="str">
        <f>IF('数据-取费表'!B22&lt;=1,"（1）-（4）项×年利率×建设期÷2","（1）-（4）项×((1+年利率)^(建设期÷2)-1)")</f>
        <v>（1）-（4）项×((1+年利率)^(建设期÷2)-1)</v>
      </c>
      <c r="H28" s="2531"/>
      <c r="I28" s="2531"/>
      <c r="J28" s="2531"/>
      <c r="K28" s="276"/>
      <c r="L28" s="3200"/>
      <c r="M28" s="3200"/>
      <c r="N28" s="3200"/>
      <c r="O28" s="3200"/>
      <c r="P28" s="3200"/>
      <c r="Q28" s="3200"/>
      <c r="R28" s="3200"/>
      <c r="S28" s="3200"/>
      <c r="T28" s="3200"/>
      <c r="U28" s="3200"/>
      <c r="V28" s="3200"/>
      <c r="W28" s="3200"/>
      <c r="X28" s="3200"/>
      <c r="Y28" s="3200"/>
      <c r="Z28" s="3200"/>
    </row>
    <row r="29" spans="1:26" s="2001" customFormat="1" ht="13.5" customHeight="1">
      <c r="A29" s="2577" t="s">
        <v>1853</v>
      </c>
      <c r="B29" s="2567" t="s">
        <v>491</v>
      </c>
      <c r="C29" s="2568">
        <f>ROUND(C6*F29/(1+'数据-取费表'!C42),0)</f>
        <v>1713</v>
      </c>
      <c r="D29" s="461"/>
      <c r="E29" s="461"/>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3" t="s">
        <v>1854</v>
      </c>
      <c r="B30" s="2578" t="s">
        <v>494</v>
      </c>
      <c r="C30" s="2573">
        <f ca="1">C31</f>
        <v>7024</v>
      </c>
      <c r="D30" s="470">
        <f ca="1">C32</f>
        <v>0.1048</v>
      </c>
      <c r="E30" s="462" t="s">
        <v>489</v>
      </c>
      <c r="F30" s="464"/>
      <c r="G30" s="2536" t="s">
        <v>2937</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2" t="s">
        <v>1847</v>
      </c>
      <c r="B31" s="2574"/>
      <c r="C31" s="443">
        <f ca="1">C18+C19+C20+C23+C24+C26+C29</f>
        <v>7024</v>
      </c>
      <c r="D31" s="465"/>
      <c r="E31" s="466"/>
      <c r="F31" s="467"/>
      <c r="G31" s="259"/>
      <c r="H31" s="2531"/>
      <c r="I31" s="2531"/>
      <c r="J31" s="2531"/>
      <c r="K31" s="276"/>
      <c r="L31" s="3200"/>
      <c r="M31" s="3200"/>
      <c r="N31" s="3200"/>
      <c r="O31" s="3200"/>
      <c r="P31" s="3200"/>
      <c r="Q31" s="3200"/>
      <c r="R31" s="3200"/>
      <c r="S31" s="3200"/>
      <c r="T31" s="3200"/>
      <c r="U31" s="3200"/>
      <c r="V31" s="3200"/>
      <c r="W31" s="3200"/>
      <c r="X31" s="3200"/>
      <c r="Y31" s="3200"/>
      <c r="Z31" s="3200"/>
    </row>
    <row r="32" spans="1:26" s="2001" customFormat="1" ht="13.5" customHeight="1">
      <c r="A32" s="792" t="s">
        <v>1848</v>
      </c>
      <c r="B32" s="2574"/>
      <c r="C32" s="53">
        <f ca="1">ROUND(C25+D26,4)</f>
        <v>0.1048</v>
      </c>
      <c r="D32" s="465"/>
      <c r="E32" s="466"/>
      <c r="F32" s="467"/>
      <c r="G32" s="259"/>
      <c r="H32" s="2531"/>
      <c r="I32" s="2531"/>
      <c r="J32" s="2531"/>
      <c r="K32" s="276"/>
      <c r="L32" s="3200"/>
      <c r="M32" s="3200"/>
      <c r="N32" s="3200"/>
      <c r="O32" s="3200"/>
      <c r="P32" s="3200"/>
      <c r="Q32" s="3200"/>
      <c r="R32" s="3200"/>
      <c r="S32" s="3200"/>
      <c r="T32" s="3200"/>
      <c r="U32" s="3200"/>
      <c r="V32" s="3200"/>
      <c r="W32" s="3200"/>
      <c r="X32" s="3200"/>
      <c r="Y32" s="3200"/>
      <c r="Z32" s="3200"/>
    </row>
    <row r="33" spans="1:26" s="2003" customFormat="1" ht="13.5" customHeight="1">
      <c r="A33" s="2746" t="s">
        <v>2813</v>
      </c>
      <c r="B33" s="2744" t="s">
        <v>2811</v>
      </c>
      <c r="C33" s="471">
        <f ca="1">C35</f>
        <v>1282</v>
      </c>
      <c r="D33" s="460">
        <f ca="1">C34</f>
        <v>0.2576</v>
      </c>
      <c r="E33" s="462" t="s">
        <v>489</v>
      </c>
      <c r="F33" s="472">
        <f ca="1">IF(B1="",'数据-取费表'!Q16,INDIRECT("'数据-取费表'!q"&amp;$K$1))</f>
        <v>0.25</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8" t="s">
        <v>1847</v>
      </c>
      <c r="B34" s="2579" t="s">
        <v>495</v>
      </c>
      <c r="C34" s="465">
        <f ca="1">ROUND((1+C25)*F33,4)</f>
        <v>0.2576</v>
      </c>
      <c r="D34" s="465"/>
      <c r="E34" s="466"/>
      <c r="F34" s="473"/>
      <c r="G34" s="259" t="s">
        <v>2278</v>
      </c>
      <c r="H34" s="2531"/>
      <c r="I34" s="2531"/>
      <c r="J34" s="2531"/>
      <c r="K34" s="276"/>
      <c r="L34" s="3203"/>
      <c r="M34" s="3203"/>
      <c r="N34" s="3203"/>
      <c r="O34" s="3203"/>
      <c r="P34" s="3203"/>
      <c r="Q34" s="3203"/>
      <c r="R34" s="3203"/>
      <c r="S34" s="3203"/>
      <c r="T34" s="3203"/>
      <c r="U34" s="3203"/>
      <c r="V34" s="3203"/>
      <c r="W34" s="3203"/>
      <c r="X34" s="3203"/>
      <c r="Y34" s="3203"/>
      <c r="Z34" s="3203"/>
    </row>
    <row r="35" spans="1:26" s="2004" customFormat="1" ht="13.5" customHeight="1" thickBot="1">
      <c r="A35" s="1564" t="s">
        <v>1848</v>
      </c>
      <c r="B35" s="2745" t="s">
        <v>2819</v>
      </c>
      <c r="C35" s="1556">
        <f ca="1">ROUND((C18+C19+C20+C23+C24)*F33,0)</f>
        <v>1282</v>
      </c>
      <c r="D35" s="1557"/>
      <c r="E35" s="2580"/>
      <c r="F35" s="1558"/>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1" t="s">
        <v>1835</v>
      </c>
      <c r="B36" s="2542"/>
      <c r="C36" s="2581">
        <f ca="1">ROUND((C6-C30-C33)/(1+D30+D33),0)</f>
        <v>17474</v>
      </c>
      <c r="D36" s="2542"/>
      <c r="E36" s="2542"/>
      <c r="F36" s="2542"/>
      <c r="G36" s="2541" t="s">
        <v>2820</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82" t="str">
        <f>项目基本情况!B1</f>
        <v>北京市国有建设用地使用权预评估</v>
      </c>
      <c r="C37" s="3282"/>
      <c r="D37" s="3282"/>
      <c r="E37" s="3282"/>
      <c r="F37" s="3282"/>
      <c r="G37" s="3282"/>
      <c r="H37" s="3282"/>
      <c r="I37" s="3282"/>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30" t="s">
        <v>1675</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t="e">
        <f ca="1">ROUND(B2*10000/IF(B1="",'数据-汇总表'!D3,INDIRECT("'数据-取费表'!R"&amp;$K$1)),0)</f>
        <v>#DIV/0!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t="e">
        <f ca="1">ROUND(B2/(IF(B1="",'数据-汇总表'!D3,INDIRECT("'数据-取费表'!R"&amp;$K$1))/666.67),0)</f>
        <v>#DIV/0!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2633</v>
      </c>
      <c r="B6" s="426"/>
      <c r="C6" s="1551">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6" customFormat="1" ht="13.5" customHeight="1">
      <c r="A12" s="427" t="s">
        <v>464</v>
      </c>
      <c r="B12" s="437" t="s">
        <v>465</v>
      </c>
      <c r="C12" s="438" t="s">
        <v>469</v>
      </c>
      <c r="D12" s="439" t="s">
        <v>470</v>
      </c>
      <c r="E12" s="439" t="s">
        <v>471</v>
      </c>
      <c r="F12" s="439" t="s">
        <v>472</v>
      </c>
      <c r="G12" s="437"/>
      <c r="H12" s="440"/>
      <c r="I12" s="440"/>
      <c r="J12" s="440"/>
      <c r="K12" s="441"/>
      <c r="L12" s="3197"/>
      <c r="M12" s="3197"/>
      <c r="N12" s="3197"/>
      <c r="O12" s="3197"/>
      <c r="P12" s="3197"/>
      <c r="Q12" s="3197"/>
      <c r="R12" s="3197"/>
      <c r="S12" s="3197"/>
      <c r="T12" s="3197"/>
      <c r="U12" s="3197"/>
      <c r="V12" s="3197"/>
      <c r="W12" s="3197"/>
      <c r="X12" s="3197"/>
      <c r="Y12" s="3197"/>
      <c r="Z12" s="3197"/>
    </row>
    <row r="13" spans="1:41" s="1997" customFormat="1" ht="13.5" customHeight="1">
      <c r="A13" s="1561" t="s">
        <v>1839</v>
      </c>
      <c r="B13" s="442" t="s">
        <v>473</v>
      </c>
      <c r="C13" s="443">
        <f ca="1">IF(B1="",'数据-取费表'!M16,INDIRECT("'数据-取费表'!M"&amp;$K$1)+INDIRECT("'数据-取费表'!t"&amp;$K$1))</f>
        <v>3800</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2" t="s">
        <v>474</v>
      </c>
      <c r="C14" s="53">
        <f ca="1">ROUND(C13*F14,0)</f>
        <v>114</v>
      </c>
      <c r="D14" s="444"/>
      <c r="E14" s="362"/>
      <c r="F14" s="446">
        <f>'数据-取费表'!B33</f>
        <v>0.03</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2" t="s">
        <v>478</v>
      </c>
      <c r="C16" s="53">
        <f ca="1">ROUND(D16*E16/10000,0)</f>
        <v>238</v>
      </c>
      <c r="D16" s="444">
        <f ca="1">IF(B1="",'数据-汇总表'!E3,INDIRECT("'数据-取费表'!K"&amp;$K$1)+INDIRECT("'数据-取费表'!S"&amp;$K$1))</f>
        <v>9501</v>
      </c>
      <c r="E16" s="53">
        <f>'数据-取费表'!B35</f>
        <v>250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2" t="s">
        <v>479</v>
      </c>
      <c r="C17" s="447">
        <f ca="1">ROUND(C13*F17,0)</f>
        <v>57</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2" t="s">
        <v>481</v>
      </c>
      <c r="C18" s="453">
        <f ca="1">SUM(C13:C17)</f>
        <v>4209</v>
      </c>
      <c r="D18" s="454"/>
      <c r="E18" s="455"/>
      <c r="F18" s="455"/>
      <c r="G18" s="1280" t="s">
        <v>2416</v>
      </c>
      <c r="H18" s="440"/>
      <c r="I18" s="440"/>
      <c r="J18" s="440"/>
      <c r="K18" s="441"/>
      <c r="L18" s="3199"/>
      <c r="M18" s="3199"/>
      <c r="N18" s="3199"/>
      <c r="O18" s="3199"/>
      <c r="P18" s="3199"/>
      <c r="Q18" s="3199"/>
      <c r="R18" s="3199"/>
      <c r="S18" s="3199"/>
      <c r="T18" s="3199"/>
      <c r="U18" s="3199"/>
      <c r="V18" s="3199"/>
      <c r="W18" s="3199"/>
      <c r="X18" s="3199"/>
      <c r="Y18" s="3199"/>
      <c r="Z18" s="3199"/>
    </row>
    <row r="19" spans="1:26" s="2000" customFormat="1" ht="13.5" customHeight="1">
      <c r="A19" s="1562" t="s">
        <v>1845</v>
      </c>
      <c r="B19" s="452" t="s">
        <v>487</v>
      </c>
      <c r="C19" s="453">
        <f ca="1">ROUND(C18*F19,0)</f>
        <v>84</v>
      </c>
      <c r="D19" s="455"/>
      <c r="E19" s="455"/>
      <c r="F19" s="459">
        <f>'数据-取费表'!B37</f>
        <v>0.02</v>
      </c>
      <c r="G19" s="437" t="s">
        <v>497</v>
      </c>
      <c r="H19" s="440"/>
      <c r="I19" s="440"/>
      <c r="J19" s="440"/>
      <c r="K19" s="441"/>
      <c r="L19" s="3201"/>
      <c r="M19" s="3201"/>
      <c r="N19" s="3201"/>
      <c r="O19" s="3199"/>
      <c r="P19" s="3199"/>
      <c r="Q19" s="3199"/>
      <c r="R19" s="3199"/>
      <c r="S19" s="3199"/>
      <c r="T19" s="3199"/>
      <c r="U19" s="3199"/>
      <c r="V19" s="3199"/>
      <c r="W19" s="3199"/>
      <c r="X19" s="3199"/>
      <c r="Y19" s="3199"/>
      <c r="Z19" s="3199"/>
    </row>
    <row r="20" spans="1:26" s="2000" customFormat="1" ht="13.5" customHeight="1">
      <c r="A20" s="1562" t="s">
        <v>1846</v>
      </c>
      <c r="B20" s="452" t="s">
        <v>498</v>
      </c>
      <c r="C20" s="2742">
        <f>F20</f>
        <v>0.02</v>
      </c>
      <c r="D20" s="462" t="s">
        <v>499</v>
      </c>
      <c r="E20" s="462"/>
      <c r="F20" s="479">
        <f>'数据-取费表'!B38</f>
        <v>0.02</v>
      </c>
      <c r="G20" s="1280" t="s">
        <v>500</v>
      </c>
      <c r="H20" s="440"/>
      <c r="I20" s="440"/>
      <c r="J20" s="440"/>
      <c r="K20" s="441"/>
      <c r="L20" s="3201"/>
      <c r="M20" s="3201"/>
      <c r="N20" s="3201"/>
      <c r="O20" s="3199"/>
      <c r="P20" s="3199"/>
      <c r="Q20" s="3199"/>
      <c r="R20" s="3199"/>
      <c r="S20" s="3199"/>
      <c r="T20" s="3199"/>
      <c r="U20" s="3199"/>
      <c r="V20" s="3199"/>
      <c r="W20" s="3199"/>
      <c r="X20" s="3199"/>
      <c r="Y20" s="3199"/>
      <c r="Z20" s="3199"/>
    </row>
    <row r="21" spans="1:26" s="2002" customFormat="1" ht="13.5" customHeight="1">
      <c r="A21" s="1562" t="s">
        <v>1849</v>
      </c>
      <c r="B21" s="454" t="s">
        <v>488</v>
      </c>
      <c r="C21" s="463">
        <f ca="1">C22</f>
        <v>152</v>
      </c>
      <c r="D21" s="460">
        <f ca="1">C23</f>
        <v>6.9999999999999999E-4</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7" t="s">
        <v>2437</v>
      </c>
      <c r="M21" s="3208"/>
      <c r="N21" s="3208"/>
      <c r="O21" s="3208"/>
      <c r="P21" s="3208"/>
      <c r="Q21" s="3201"/>
      <c r="R21" s="3201"/>
      <c r="S21" s="3201"/>
      <c r="T21" s="3201"/>
      <c r="U21" s="3201"/>
      <c r="V21" s="3201"/>
      <c r="W21" s="3201"/>
      <c r="X21" s="3201"/>
      <c r="Y21" s="3201"/>
      <c r="Z21" s="3201"/>
    </row>
    <row r="22" spans="1:26" s="2001" customFormat="1" ht="13.5" customHeight="1">
      <c r="A22" s="1561" t="s">
        <v>1839</v>
      </c>
      <c r="B22" s="1281" t="s">
        <v>2419</v>
      </c>
      <c r="C22" s="480">
        <f ca="1">ROUND(IF('数据-取费表'!B22&lt;=1,(C18+C19)*F21*'数据-取费表'!B20/2,(C18+C19)*(POWER((1+F21),'数据-取费表'!B20/2)-1)),0)</f>
        <v>152</v>
      </c>
      <c r="D22" s="465"/>
      <c r="E22" s="466"/>
      <c r="F22" s="467"/>
      <c r="G22" s="2419" t="str">
        <f>IF('数据-取费表'!B22&lt;=1,"((1)+(2))×年利率×建设期÷2","((1)+(2))×((1+年利率)^(建设期÷2)-1)")</f>
        <v>((1)+(2))×((1+年利率)^(建设期÷2)-1)</v>
      </c>
      <c r="H22" s="450"/>
      <c r="I22" s="450"/>
      <c r="J22" s="450"/>
      <c r="K22" s="451"/>
      <c r="L22" s="3200"/>
      <c r="M22" s="3200"/>
      <c r="N22" s="3200"/>
      <c r="O22" s="3200"/>
      <c r="P22" s="3200"/>
      <c r="Q22" s="3200"/>
      <c r="R22" s="3200"/>
      <c r="S22" s="3200"/>
      <c r="T22" s="3200"/>
      <c r="U22" s="3200"/>
      <c r="V22" s="3200"/>
      <c r="W22" s="3200"/>
      <c r="X22" s="3200"/>
      <c r="Y22" s="3200"/>
      <c r="Z22" s="3200"/>
    </row>
    <row r="23" spans="1:26" s="2001" customFormat="1" ht="13.5" customHeight="1">
      <c r="A23" s="1561" t="s">
        <v>1840</v>
      </c>
      <c r="B23" s="1281" t="s">
        <v>502</v>
      </c>
      <c r="C23" s="481">
        <f ca="1">ROUND(IF('数据-取费表'!B22&lt;=1,F20*F21*'数据-取费表'!B20/2,F20*(POWER((1+F21),'数据-取费表'!B20/2)-1)),4)</f>
        <v>6.9999999999999999E-4</v>
      </c>
      <c r="D23" s="465"/>
      <c r="E23" s="466"/>
      <c r="F23" s="467"/>
      <c r="G23" s="2419" t="str">
        <f>IF('数据-取费表'!B22&lt;=1,"销售费用率×年利率×建设期÷2","销售费用率×((1+年利率)^(建设期÷2)-1)")</f>
        <v>销售费用率×((1+年利率)^(建设期÷2)-1)</v>
      </c>
      <c r="H23" s="450"/>
      <c r="I23" s="450"/>
      <c r="J23" s="450"/>
      <c r="K23" s="451"/>
      <c r="L23" s="3200"/>
      <c r="M23" s="3200"/>
      <c r="N23" s="3200"/>
      <c r="O23" s="3200"/>
      <c r="P23" s="3200"/>
      <c r="Q23" s="3200"/>
      <c r="R23" s="3200"/>
      <c r="S23" s="3200"/>
      <c r="T23" s="3200"/>
      <c r="U23" s="3200"/>
      <c r="V23" s="3200"/>
      <c r="W23" s="3200"/>
      <c r="X23" s="3200"/>
      <c r="Y23" s="3200"/>
      <c r="Z23" s="3200"/>
    </row>
    <row r="24" spans="1:26" s="2001" customFormat="1" ht="13.5" customHeight="1">
      <c r="A24" s="1562" t="s">
        <v>1850</v>
      </c>
      <c r="B24" s="2744" t="s">
        <v>2812</v>
      </c>
      <c r="C24" s="471">
        <f ca="1">C25</f>
        <v>1073</v>
      </c>
      <c r="D24" s="482">
        <f ca="1">C26</f>
        <v>5.0000000000000001E-3</v>
      </c>
      <c r="E24" s="462" t="s">
        <v>501</v>
      </c>
      <c r="F24" s="472">
        <f ca="1">IF(B1="",'数据-取费表'!Q16,INDIRECT("'数据-取费表'!q"&amp;$K$1))</f>
        <v>0.25</v>
      </c>
      <c r="G24" s="437"/>
      <c r="H24" s="440"/>
      <c r="I24" s="440"/>
      <c r="J24" s="440"/>
      <c r="K24" s="441"/>
      <c r="L24" s="3200"/>
      <c r="M24" s="3200"/>
      <c r="N24" s="3200"/>
      <c r="O24" s="3200"/>
      <c r="P24" s="3200"/>
      <c r="Q24" s="3200"/>
      <c r="R24" s="3200"/>
      <c r="S24" s="3200"/>
      <c r="T24" s="3200"/>
      <c r="U24" s="3200"/>
      <c r="V24" s="3200"/>
      <c r="W24" s="3200"/>
      <c r="X24" s="3200"/>
      <c r="Y24" s="3200"/>
      <c r="Z24" s="3200"/>
    </row>
    <row r="25" spans="1:26" s="2001" customFormat="1" ht="13.5" customHeight="1">
      <c r="A25" s="1561" t="s">
        <v>1839</v>
      </c>
      <c r="B25" s="1281" t="s">
        <v>2420</v>
      </c>
      <c r="C25" s="483">
        <f ca="1">ROUND((C18+C19)*F24,0)</f>
        <v>1073</v>
      </c>
      <c r="D25" s="465"/>
      <c r="E25" s="466"/>
      <c r="F25" s="473"/>
      <c r="G25" s="1279" t="s">
        <v>2417</v>
      </c>
      <c r="H25" s="450"/>
      <c r="I25" s="450"/>
      <c r="J25" s="450"/>
      <c r="K25" s="451"/>
      <c r="L25" s="3200"/>
      <c r="M25" s="3200"/>
      <c r="N25" s="3200"/>
      <c r="O25" s="3200"/>
      <c r="P25" s="3200"/>
      <c r="Q25" s="3200"/>
      <c r="R25" s="3200"/>
      <c r="S25" s="3200"/>
      <c r="T25" s="3200"/>
      <c r="U25" s="3200"/>
      <c r="V25" s="3200"/>
      <c r="W25" s="3200"/>
      <c r="X25" s="3200"/>
      <c r="Y25" s="3200"/>
      <c r="Z25" s="3200"/>
    </row>
    <row r="26" spans="1:26" s="2001" customFormat="1" ht="13.5" customHeight="1">
      <c r="A26" s="1561" t="s">
        <v>1840</v>
      </c>
      <c r="B26" s="1281" t="s">
        <v>503</v>
      </c>
      <c r="C26" s="484">
        <f ca="1">ROUND(F20*F24,4)</f>
        <v>5.0000000000000001E-3</v>
      </c>
      <c r="D26" s="465"/>
      <c r="E26" s="474"/>
      <c r="F26" s="473"/>
      <c r="G26" s="1279" t="s">
        <v>504</v>
      </c>
      <c r="H26" s="450"/>
      <c r="I26" s="450"/>
      <c r="J26" s="450"/>
      <c r="K26" s="451"/>
      <c r="L26" s="3200"/>
      <c r="M26" s="3200"/>
      <c r="N26" s="3200"/>
      <c r="O26" s="3200"/>
      <c r="P26" s="3200"/>
      <c r="Q26" s="3200"/>
      <c r="R26" s="3200"/>
      <c r="S26" s="3200"/>
      <c r="T26" s="3200"/>
      <c r="U26" s="3200"/>
      <c r="V26" s="3200"/>
      <c r="W26" s="3200"/>
      <c r="X26" s="3200"/>
      <c r="Y26" s="3200"/>
      <c r="Z26" s="3200"/>
    </row>
    <row r="27" spans="1:26" s="2001" customFormat="1" ht="13.5" customHeight="1">
      <c r="A27" s="1565" t="s">
        <v>1858</v>
      </c>
      <c r="B27" s="452" t="s">
        <v>505</v>
      </c>
      <c r="C27" s="2743">
        <f>ROUND(F27/(1+'数据-取费表'!C42),4)</f>
        <v>5.33E-2</v>
      </c>
      <c r="D27" s="455" t="s">
        <v>2810</v>
      </c>
      <c r="E27" s="455"/>
      <c r="F27" s="459">
        <f>'数据-取费表'!B41</f>
        <v>5.6000000000000001E-2</v>
      </c>
      <c r="G27" s="1873" t="s">
        <v>2279</v>
      </c>
      <c r="H27" s="440"/>
      <c r="I27" s="440"/>
      <c r="J27" s="440"/>
      <c r="K27" s="441"/>
      <c r="L27" s="3200"/>
      <c r="M27" s="3200"/>
      <c r="N27" s="3200"/>
      <c r="O27" s="3200"/>
      <c r="P27" s="3200"/>
      <c r="Q27" s="3200"/>
      <c r="R27" s="3200"/>
      <c r="S27" s="3200"/>
      <c r="T27" s="3200"/>
      <c r="U27" s="3200"/>
      <c r="V27" s="3200"/>
      <c r="W27" s="3200"/>
      <c r="X27" s="3200"/>
      <c r="Y27" s="3200"/>
      <c r="Z27" s="3200"/>
    </row>
    <row r="28" spans="1:26" s="2002" customFormat="1" ht="13.5" customHeight="1">
      <c r="A28" s="1565" t="s">
        <v>1859</v>
      </c>
      <c r="B28" s="469" t="s">
        <v>506</v>
      </c>
      <c r="C28" s="463">
        <f ca="1">ROUND((C18+C19+C21+C24)/(1-C20-D21-D24-C27),0)</f>
        <v>5991</v>
      </c>
      <c r="D28" s="470"/>
      <c r="E28" s="462"/>
      <c r="F28" s="464"/>
      <c r="G28" s="1280" t="s">
        <v>2418</v>
      </c>
      <c r="H28" s="440"/>
      <c r="I28" s="440"/>
      <c r="J28" s="440"/>
      <c r="K28" s="441"/>
      <c r="L28" s="3201"/>
      <c r="M28" s="3201"/>
      <c r="N28" s="3201"/>
      <c r="O28" s="3201"/>
      <c r="P28" s="3201"/>
      <c r="Q28" s="3201"/>
      <c r="R28" s="3201"/>
      <c r="S28" s="3201"/>
      <c r="T28" s="3201"/>
      <c r="U28" s="3201"/>
      <c r="V28" s="3201"/>
      <c r="W28" s="3201"/>
      <c r="X28" s="3201"/>
      <c r="Y28" s="3201"/>
      <c r="Z28" s="3201"/>
    </row>
    <row r="29" spans="1:26" s="2002" customFormat="1" ht="13.5" customHeight="1">
      <c r="A29" s="1565" t="s">
        <v>1860</v>
      </c>
      <c r="B29" s="469" t="s">
        <v>507</v>
      </c>
      <c r="C29" s="485">
        <f ca="1">IF(B1="",'数据-取费表'!N16,INDIRECT("'数据-取费表'!N"&amp;$K$1))</f>
        <v>0</v>
      </c>
      <c r="D29" s="486"/>
      <c r="E29" s="487"/>
      <c r="F29" s="488"/>
      <c r="G29" s="437"/>
      <c r="H29" s="440"/>
      <c r="I29" s="440"/>
      <c r="J29" s="440"/>
      <c r="K29" s="441"/>
      <c r="L29" s="3201"/>
      <c r="M29" s="3201"/>
      <c r="N29" s="3201"/>
      <c r="O29" s="3201"/>
      <c r="P29" s="3201"/>
      <c r="Q29" s="3201"/>
      <c r="R29" s="3201"/>
      <c r="S29" s="3201"/>
      <c r="T29" s="3201"/>
      <c r="U29" s="3201"/>
      <c r="V29" s="3201"/>
      <c r="W29" s="3201"/>
      <c r="X29" s="3201"/>
      <c r="Y29" s="3201"/>
      <c r="Z29" s="3201"/>
    </row>
    <row r="30" spans="1:26" s="2002" customFormat="1" ht="13.5" customHeight="1">
      <c r="A30" s="436">
        <v>2</v>
      </c>
      <c r="B30" s="469" t="s">
        <v>508</v>
      </c>
      <c r="C30" s="490">
        <f ca="1">ROUND(C28*C29,0)</f>
        <v>0</v>
      </c>
      <c r="D30" s="486"/>
      <c r="E30" s="491"/>
      <c r="F30" s="492"/>
      <c r="G30" s="1282" t="s">
        <v>509</v>
      </c>
      <c r="H30" s="489"/>
      <c r="I30" s="489"/>
      <c r="J30" s="440"/>
      <c r="K30" s="441"/>
      <c r="L30" s="3201"/>
      <c r="M30" s="3201"/>
      <c r="N30" s="3201"/>
      <c r="O30" s="3201"/>
      <c r="P30" s="3201"/>
      <c r="Q30" s="3201"/>
      <c r="R30" s="3201"/>
      <c r="S30" s="3201"/>
      <c r="T30" s="3201"/>
      <c r="U30" s="3201"/>
      <c r="V30" s="3201"/>
      <c r="W30" s="3201"/>
      <c r="X30" s="3201"/>
      <c r="Y30" s="3201"/>
      <c r="Z30" s="3201"/>
    </row>
    <row r="31" spans="1:26" s="2007" customFormat="1" ht="13.5" customHeight="1">
      <c r="A31" s="2334" t="s">
        <v>1856</v>
      </c>
      <c r="B31" s="1283"/>
      <c r="C31" s="493">
        <f>ROUND(C6*F31/(1+'数据-取费表'!C42),0)</f>
        <v>0</v>
      </c>
      <c r="D31" s="1284"/>
      <c r="E31" s="1284"/>
      <c r="F31" s="494">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5" t="s">
        <v>2938</v>
      </c>
      <c r="H32" s="476"/>
      <c r="I32" s="476"/>
      <c r="J32" s="476"/>
      <c r="K32" s="478"/>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6" t="s">
        <v>461</v>
      </c>
      <c r="B2" s="501" t="e">
        <f>F68</f>
        <v>#DIV/0!</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30" t="s">
        <v>1675</v>
      </c>
      <c r="B3" s="503" t="e">
        <f>ROUND(B2*10000/'数据-汇总表'!E3,0)</f>
        <v>#DIV/0!</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4" t="s">
        <v>514</v>
      </c>
      <c r="B4" s="420" t="e">
        <f>IF(B48="单位面积地价",C50,ROUND(B2*10000/'数据-汇总表'!D3,0))</f>
        <v>#DIV/0!</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t="e">
        <f>ROUND(B2/('数据-汇总表'!D3/666.67),0)</f>
        <v>#DIV/0!</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464" t="s">
        <v>516</v>
      </c>
      <c r="D6" s="3465"/>
      <c r="E6" s="3464" t="s">
        <v>517</v>
      </c>
      <c r="F6" s="3465"/>
      <c r="G6" s="3464" t="s">
        <v>518</v>
      </c>
      <c r="H6" s="3465"/>
      <c r="I6" s="3464" t="s">
        <v>519</v>
      </c>
      <c r="J6" s="3465"/>
      <c r="K6" s="507" t="s">
        <v>520</v>
      </c>
      <c r="L6" s="2014"/>
      <c r="M6" s="2013"/>
      <c r="N6" s="2013"/>
      <c r="O6" s="2015"/>
      <c r="P6" s="3466" t="s">
        <v>521</v>
      </c>
      <c r="Q6" s="3467"/>
      <c r="R6" s="3472" t="s">
        <v>517</v>
      </c>
      <c r="S6" s="3473"/>
      <c r="T6" s="3472" t="s">
        <v>518</v>
      </c>
      <c r="U6" s="3473"/>
      <c r="V6" s="3459" t="s">
        <v>519</v>
      </c>
      <c r="W6" s="3459"/>
      <c r="X6" s="1501"/>
      <c r="Y6" s="3472" t="s">
        <v>521</v>
      </c>
      <c r="Z6" s="3473"/>
      <c r="AA6" s="3461" t="s">
        <v>517</v>
      </c>
      <c r="AB6" s="3462" t="s">
        <v>518</v>
      </c>
      <c r="AC6" s="3461" t="s">
        <v>519</v>
      </c>
    </row>
    <row r="7" spans="1:30" ht="20.25">
      <c r="A7" s="508"/>
      <c r="B7" s="509"/>
      <c r="C7" s="3480" t="s">
        <v>2898</v>
      </c>
      <c r="D7" s="3481"/>
      <c r="E7" s="3480" t="s">
        <v>2899</v>
      </c>
      <c r="F7" s="3481"/>
      <c r="G7" s="3480" t="s">
        <v>2900</v>
      </c>
      <c r="H7" s="3481"/>
      <c r="I7" s="3480" t="s">
        <v>2901</v>
      </c>
      <c r="J7" s="3481"/>
      <c r="K7" s="507"/>
      <c r="L7" s="2014"/>
      <c r="M7" s="2013"/>
      <c r="N7" s="2013"/>
      <c r="O7" s="2015"/>
      <c r="P7" s="3468"/>
      <c r="Q7" s="3469"/>
      <c r="R7" s="3474"/>
      <c r="S7" s="3475"/>
      <c r="T7" s="3474"/>
      <c r="U7" s="3475"/>
      <c r="V7" s="3459"/>
      <c r="W7" s="3459"/>
      <c r="X7" s="1501"/>
      <c r="Y7" s="3474"/>
      <c r="Z7" s="3475"/>
      <c r="AA7" s="3462"/>
      <c r="AB7" s="3462"/>
      <c r="AC7" s="3462"/>
    </row>
    <row r="8" spans="1:30" ht="21" thickBot="1">
      <c r="A8" s="508"/>
      <c r="B8" s="509"/>
      <c r="C8" s="3482" t="s">
        <v>2902</v>
      </c>
      <c r="D8" s="3483"/>
      <c r="E8" s="3482" t="s">
        <v>2902</v>
      </c>
      <c r="F8" s="3483"/>
      <c r="G8" s="3478" t="s">
        <v>2902</v>
      </c>
      <c r="H8" s="3479"/>
      <c r="I8" s="3478" t="s">
        <v>2902</v>
      </c>
      <c r="J8" s="3479"/>
      <c r="K8" s="507" t="s">
        <v>522</v>
      </c>
      <c r="L8" s="2014"/>
      <c r="M8" s="2013"/>
      <c r="N8" s="2013"/>
      <c r="O8" s="2015"/>
      <c r="P8" s="3470"/>
      <c r="Q8" s="3471"/>
      <c r="R8" s="3474"/>
      <c r="S8" s="3475"/>
      <c r="T8" s="3476"/>
      <c r="U8" s="3477"/>
      <c r="V8" s="3459"/>
      <c r="W8" s="3459"/>
      <c r="X8" s="1501"/>
      <c r="Y8" s="3476"/>
      <c r="Z8" s="3477"/>
      <c r="AA8" s="3463"/>
      <c r="AB8" s="3463"/>
      <c r="AC8" s="3463"/>
    </row>
    <row r="9" spans="1:30" s="1202" customFormat="1" ht="21" thickBot="1">
      <c r="A9" s="2628"/>
      <c r="B9" s="2635" t="s">
        <v>523</v>
      </c>
      <c r="C9" s="2627">
        <f>'数据-取费表'!B2</f>
        <v>44371</v>
      </c>
      <c r="D9" s="513">
        <v>100</v>
      </c>
      <c r="E9" s="514"/>
      <c r="F9" s="515">
        <f>SUMIF(72:72,YEAR(E9)&amp;"-"&amp;INT((MONTH(E9)+2)/3),73:73)</f>
        <v>0</v>
      </c>
      <c r="G9" s="516"/>
      <c r="H9" s="513">
        <f>SUMIF(72:72,YEAR(G9)&amp;"-"&amp;INT((MONTH(G9)+2)/3),73:73)</f>
        <v>0</v>
      </c>
      <c r="I9" s="516"/>
      <c r="J9" s="513">
        <f>SUMIF(72:72,YEAR(I9)&amp;"-"&amp;INT((MONTH(I9)+2)/3),73:73)</f>
        <v>0</v>
      </c>
      <c r="K9" s="517"/>
      <c r="L9" s="2016"/>
      <c r="M9" s="2013"/>
      <c r="N9" s="2013"/>
      <c r="O9" s="2017"/>
      <c r="P9" s="3489" t="s">
        <v>524</v>
      </c>
      <c r="Q9" s="3491"/>
      <c r="R9" s="1502" t="s">
        <v>8</v>
      </c>
      <c r="S9" s="1503">
        <f t="shared" ref="S9:S17" si="0">F9</f>
        <v>0</v>
      </c>
      <c r="T9" s="1502" t="s">
        <v>8</v>
      </c>
      <c r="U9" s="1503">
        <f t="shared" ref="U9:U17" si="1">H9</f>
        <v>0</v>
      </c>
      <c r="V9" s="1502" t="s">
        <v>8</v>
      </c>
      <c r="W9" s="1503">
        <f t="shared" ref="W9:W17" si="2">J9</f>
        <v>0</v>
      </c>
      <c r="X9" s="1504"/>
      <c r="Y9" s="3489" t="s">
        <v>524</v>
      </c>
      <c r="Z9" s="3490"/>
      <c r="AA9" s="1505" t="e">
        <f>D9/F9</f>
        <v>#DIV/0!</v>
      </c>
      <c r="AB9" s="1505" t="e">
        <f>D9/H9</f>
        <v>#DIV/0!</v>
      </c>
      <c r="AC9" s="1505" t="e">
        <f>D9/J9</f>
        <v>#DIV/0!</v>
      </c>
    </row>
    <row r="10" spans="1:30" s="1202" customFormat="1" ht="21" thickBot="1">
      <c r="A10" s="2629"/>
      <c r="B10" s="2636"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6"/>
      <c r="M10" s="2013"/>
      <c r="N10" s="2013"/>
      <c r="O10" s="2017"/>
      <c r="P10" s="3489" t="s">
        <v>527</v>
      </c>
      <c r="Q10" s="3490"/>
      <c r="R10" s="1502" t="s">
        <v>8</v>
      </c>
      <c r="S10" s="1503">
        <f t="shared" si="0"/>
        <v>0</v>
      </c>
      <c r="T10" s="1502" t="s">
        <v>8</v>
      </c>
      <c r="U10" s="1503">
        <f t="shared" si="1"/>
        <v>0</v>
      </c>
      <c r="V10" s="1502" t="s">
        <v>8</v>
      </c>
      <c r="W10" s="1503">
        <f t="shared" si="2"/>
        <v>0</v>
      </c>
      <c r="X10" s="1504"/>
      <c r="Y10" s="3489" t="s">
        <v>527</v>
      </c>
      <c r="Z10" s="3490"/>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19"/>
      <c r="F11" s="252">
        <f>SUMIF(77:77,E11,78:78)-SUMIF(77:77,C11,78:78)+100</f>
        <v>100</v>
      </c>
      <c r="G11" s="519"/>
      <c r="H11" s="252">
        <f>SUMIF(77:77,G11,78:78)-SUMIF(77:77,C11,78:78)+100</f>
        <v>100</v>
      </c>
      <c r="I11" s="519"/>
      <c r="J11" s="252">
        <f>SUMIF(77:77,I11,78:78)-SUMIF(77:77,C11,78:78)+100</f>
        <v>100</v>
      </c>
      <c r="K11" s="517"/>
      <c r="L11" s="2016"/>
      <c r="M11" s="2013"/>
      <c r="N11" s="2013"/>
      <c r="O11" s="2018"/>
      <c r="P11" s="3458" t="s">
        <v>529</v>
      </c>
      <c r="Q11" s="1133" t="str">
        <f t="shared" ref="Q11:Q17" si="6">B11</f>
        <v>用途</v>
      </c>
      <c r="R11" s="1502" t="s">
        <v>8</v>
      </c>
      <c r="S11" s="1503">
        <f t="shared" si="0"/>
        <v>100</v>
      </c>
      <c r="T11" s="1502" t="s">
        <v>8</v>
      </c>
      <c r="U11" s="1503">
        <f t="shared" si="1"/>
        <v>100</v>
      </c>
      <c r="V11" s="1502" t="s">
        <v>8</v>
      </c>
      <c r="W11" s="1503">
        <f t="shared" si="2"/>
        <v>100</v>
      </c>
      <c r="X11" s="1504"/>
      <c r="Y11" s="3404" t="s">
        <v>530</v>
      </c>
      <c r="Z11" s="1132" t="str">
        <f t="shared" ref="Z11:Z17" si="7">Q11</f>
        <v>用途</v>
      </c>
      <c r="AA11" s="1505">
        <f t="shared" si="3"/>
        <v>1</v>
      </c>
      <c r="AB11" s="1505">
        <f t="shared" si="4"/>
        <v>1</v>
      </c>
      <c r="AC11" s="1505">
        <f t="shared" si="5"/>
        <v>1</v>
      </c>
    </row>
    <row r="12" spans="1:30" s="1291" customFormat="1" ht="27">
      <c r="A12" s="2631"/>
      <c r="B12" s="2636" t="s">
        <v>2738</v>
      </c>
      <c r="C12" s="898"/>
      <c r="D12" s="253">
        <v>100</v>
      </c>
      <c r="E12" s="522"/>
      <c r="F12" s="253" t="e">
        <f>ROUND(100/'数据-取费表'!G16,0)</f>
        <v>#DIV/0!</v>
      </c>
      <c r="G12" s="523"/>
      <c r="H12" s="253" t="e">
        <f>ROUND(100/'数据-取费表'!G16,0)</f>
        <v>#DIV/0!</v>
      </c>
      <c r="I12" s="523"/>
      <c r="J12" s="253" t="e">
        <f>ROUND(100/'数据-取费表'!G16,0)</f>
        <v>#DIV/0!</v>
      </c>
      <c r="K12" s="524"/>
      <c r="L12" s="2019"/>
      <c r="M12" s="2013"/>
      <c r="N12" s="2013"/>
      <c r="O12" s="2020"/>
      <c r="P12" s="3458"/>
      <c r="Q12" s="1133" t="str">
        <f t="shared" si="6"/>
        <v>土地使用年限（年）</v>
      </c>
      <c r="R12" s="1502" t="s">
        <v>8</v>
      </c>
      <c r="S12" s="1503" t="e">
        <f t="shared" si="0"/>
        <v>#DIV/0!</v>
      </c>
      <c r="T12" s="1502" t="s">
        <v>8</v>
      </c>
      <c r="U12" s="1503" t="e">
        <f t="shared" si="1"/>
        <v>#DIV/0!</v>
      </c>
      <c r="V12" s="1502" t="s">
        <v>8</v>
      </c>
      <c r="W12" s="1503" t="e">
        <f t="shared" si="2"/>
        <v>#DIV/0!</v>
      </c>
      <c r="X12" s="1504"/>
      <c r="Y12" s="3404"/>
      <c r="Z12" s="1132" t="str">
        <f t="shared" si="7"/>
        <v>土地使用年限（年）</v>
      </c>
      <c r="AA12" s="1505" t="e">
        <f t="shared" si="3"/>
        <v>#DIV/0!</v>
      </c>
      <c r="AB12" s="1505" t="e">
        <f t="shared" si="4"/>
        <v>#DIV/0!</v>
      </c>
      <c r="AC12" s="1505" t="e">
        <f t="shared" si="5"/>
        <v>#DIV/0!</v>
      </c>
    </row>
    <row r="13" spans="1:30" ht="20.25">
      <c r="A13" s="2632"/>
      <c r="B13" s="2636" t="s">
        <v>2739</v>
      </c>
      <c r="C13" s="527"/>
      <c r="D13" s="253">
        <v>100</v>
      </c>
      <c r="E13" s="526"/>
      <c r="F13" s="253" t="e">
        <f>LOOKUP(E13,82:82,83:83)-LOOKUP(C13,82:82,83:83)+100</f>
        <v>#N/A</v>
      </c>
      <c r="G13" s="527"/>
      <c r="H13" s="253" t="e">
        <f>LOOKUP(G13,82:82,83:83)-LOOKUP(C13,82:82,83:83)+100</f>
        <v>#N/A</v>
      </c>
      <c r="I13" s="526"/>
      <c r="J13" s="253" t="e">
        <f>LOOKUP(I13,82:82,83:83)-LOOKUP(C13,82:82,83:83)+100</f>
        <v>#N/A</v>
      </c>
      <c r="K13" s="528"/>
      <c r="L13" s="2021"/>
      <c r="M13" s="2013"/>
      <c r="N13" s="2013"/>
      <c r="O13" s="2022"/>
      <c r="P13" s="3458"/>
      <c r="Q13" s="1133" t="str">
        <f t="shared" si="6"/>
        <v>容积率</v>
      </c>
      <c r="R13" s="1502" t="s">
        <v>8</v>
      </c>
      <c r="S13" s="1503" t="e">
        <f t="shared" si="0"/>
        <v>#N/A</v>
      </c>
      <c r="T13" s="1502" t="s">
        <v>8</v>
      </c>
      <c r="U13" s="1503" t="e">
        <f t="shared" si="1"/>
        <v>#N/A</v>
      </c>
      <c r="V13" s="1502" t="s">
        <v>8</v>
      </c>
      <c r="W13" s="1503" t="e">
        <f t="shared" si="2"/>
        <v>#N/A</v>
      </c>
      <c r="X13" s="1504"/>
      <c r="Y13" s="3404"/>
      <c r="Z13" s="1132" t="str">
        <f t="shared" si="7"/>
        <v>容积率</v>
      </c>
      <c r="AA13" s="1505" t="e">
        <f t="shared" si="3"/>
        <v>#N/A</v>
      </c>
      <c r="AB13" s="1505" t="e">
        <f t="shared" si="4"/>
        <v>#N/A</v>
      </c>
      <c r="AC13" s="1505" t="e">
        <f t="shared" si="5"/>
        <v>#N/A</v>
      </c>
    </row>
    <row r="14" spans="1:30" s="1202" customFormat="1" ht="20.25">
      <c r="A14" s="2629"/>
      <c r="B14" s="2638" t="s">
        <v>2740</v>
      </c>
      <c r="C14" s="2625"/>
      <c r="D14" s="531">
        <v>100</v>
      </c>
      <c r="E14" s="1325"/>
      <c r="F14" s="253">
        <f>SUMIF(84:84,E14,85:85)-SUMIF(84:84,C14,85:85)+100</f>
        <v>100</v>
      </c>
      <c r="G14" s="523"/>
      <c r="H14" s="253">
        <f>SUMIF(84:84,G14,85:85)-SUMIF(84:84,C14,85:85)+100</f>
        <v>100</v>
      </c>
      <c r="I14" s="522"/>
      <c r="J14" s="253">
        <f>SUMIF(84:84,I14,85:85)-SUMIF(84:84,C14,85:85)+100</f>
        <v>100</v>
      </c>
      <c r="K14" s="524"/>
      <c r="L14" s="2016"/>
      <c r="M14" s="2013"/>
      <c r="N14" s="2013"/>
      <c r="O14" s="2018"/>
      <c r="P14" s="3458"/>
      <c r="Q14" s="1133" t="str">
        <f t="shared" si="6"/>
        <v>配建</v>
      </c>
      <c r="R14" s="1502" t="s">
        <v>8</v>
      </c>
      <c r="S14" s="1503">
        <f t="shared" si="0"/>
        <v>100</v>
      </c>
      <c r="T14" s="1502" t="s">
        <v>8</v>
      </c>
      <c r="U14" s="1503">
        <f t="shared" si="1"/>
        <v>100</v>
      </c>
      <c r="V14" s="1502" t="s">
        <v>8</v>
      </c>
      <c r="W14" s="1503">
        <f t="shared" si="2"/>
        <v>100</v>
      </c>
      <c r="X14" s="1504"/>
      <c r="Y14" s="3404"/>
      <c r="Z14" s="1132" t="str">
        <f t="shared" si="7"/>
        <v>配建</v>
      </c>
      <c r="AA14" s="1505">
        <f>D14/F14</f>
        <v>1</v>
      </c>
      <c r="AB14" s="1505">
        <f>D14/H14</f>
        <v>1</v>
      </c>
      <c r="AC14" s="1505">
        <f>D14/J14</f>
        <v>1</v>
      </c>
    </row>
    <row r="15" spans="1:30" ht="20.25">
      <c r="A15" s="2633"/>
      <c r="B15" s="2639">
        <v>111</v>
      </c>
      <c r="C15" s="900"/>
      <c r="D15" s="533">
        <v>100</v>
      </c>
      <c r="E15" s="534"/>
      <c r="F15" s="253">
        <f>SUMIF(86:86,E15,87:87)-SUMIF(86:86,C15,87:87)+100</f>
        <v>100</v>
      </c>
      <c r="G15" s="535"/>
      <c r="H15" s="533">
        <f>SUMIF(86:86,G15,87:87)-SUMIF(86:86,C15,87:87)+100</f>
        <v>100</v>
      </c>
      <c r="I15" s="535"/>
      <c r="J15" s="533">
        <f>SUMIF(86:86,I15,87:87)-SUMIF(86:86,C15,87:87)+100</f>
        <v>100</v>
      </c>
      <c r="K15" s="524"/>
      <c r="L15" s="2023"/>
      <c r="M15" s="2013"/>
      <c r="N15" s="2013"/>
      <c r="O15" s="2022"/>
      <c r="P15" s="3458"/>
      <c r="Q15" s="1133">
        <f t="shared" si="6"/>
        <v>111</v>
      </c>
      <c r="R15" s="1502" t="s">
        <v>8</v>
      </c>
      <c r="S15" s="1503">
        <f t="shared" si="0"/>
        <v>100</v>
      </c>
      <c r="T15" s="1502" t="s">
        <v>8</v>
      </c>
      <c r="U15" s="1503">
        <f t="shared" si="1"/>
        <v>100</v>
      </c>
      <c r="V15" s="1502" t="s">
        <v>8</v>
      </c>
      <c r="W15" s="1503">
        <f t="shared" si="2"/>
        <v>100</v>
      </c>
      <c r="X15" s="1504"/>
      <c r="Y15" s="3404"/>
      <c r="Z15" s="1132">
        <f t="shared" si="7"/>
        <v>111</v>
      </c>
      <c r="AA15" s="1505">
        <f>D15/F15</f>
        <v>1</v>
      </c>
      <c r="AB15" s="1505">
        <f>D15/H15</f>
        <v>1</v>
      </c>
      <c r="AC15" s="1505">
        <f>D15/J15</f>
        <v>1</v>
      </c>
    </row>
    <row r="16" spans="1:30" ht="2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58"/>
      <c r="Q16" s="1133">
        <f t="shared" si="6"/>
        <v>111</v>
      </c>
      <c r="R16" s="1502" t="s">
        <v>8</v>
      </c>
      <c r="S16" s="1503">
        <f t="shared" si="0"/>
        <v>100</v>
      </c>
      <c r="T16" s="1502" t="s">
        <v>8</v>
      </c>
      <c r="U16" s="1503">
        <f t="shared" si="1"/>
        <v>100</v>
      </c>
      <c r="V16" s="1502" t="s">
        <v>8</v>
      </c>
      <c r="W16" s="1503">
        <f t="shared" si="2"/>
        <v>100</v>
      </c>
      <c r="X16" s="1504"/>
      <c r="Y16" s="3404"/>
      <c r="Z16" s="1132">
        <f t="shared" si="7"/>
        <v>111</v>
      </c>
      <c r="AA16" s="1505">
        <f>D16/F16</f>
        <v>1</v>
      </c>
      <c r="AB16" s="1505">
        <f>D16/H16</f>
        <v>1</v>
      </c>
      <c r="AC16" s="1505">
        <f>D16/J16</f>
        <v>1</v>
      </c>
    </row>
    <row r="17" spans="1:29" ht="99.75">
      <c r="A17" s="2626" t="s">
        <v>2735</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492" t="s">
        <v>534</v>
      </c>
      <c r="Q17" s="1506" t="str">
        <f t="shared" si="6"/>
        <v>居住社区成熟度</v>
      </c>
      <c r="R17" s="1507" t="s">
        <v>8</v>
      </c>
      <c r="S17" s="1508">
        <f t="shared" si="0"/>
        <v>100</v>
      </c>
      <c r="T17" s="1507" t="s">
        <v>8</v>
      </c>
      <c r="U17" s="1508">
        <f t="shared" si="1"/>
        <v>100</v>
      </c>
      <c r="V17" s="1507" t="s">
        <v>8</v>
      </c>
      <c r="W17" s="1508">
        <f t="shared" si="2"/>
        <v>100</v>
      </c>
      <c r="X17" s="1501"/>
      <c r="Y17" s="3492"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3"/>
      <c r="M18" s="2013"/>
      <c r="N18" s="2013"/>
      <c r="O18" s="2022"/>
      <c r="P18" s="3493"/>
      <c r="Q18" s="1506"/>
      <c r="R18" s="1507"/>
      <c r="S18" s="1508"/>
      <c r="T18" s="1507"/>
      <c r="U18" s="1508"/>
      <c r="V18" s="1507"/>
      <c r="W18" s="1508"/>
      <c r="X18" s="1501"/>
      <c r="Y18" s="3493"/>
      <c r="Z18" s="1509"/>
      <c r="AA18" s="1510">
        <v>1</v>
      </c>
      <c r="AB18" s="1510">
        <v>1</v>
      </c>
      <c r="AC18" s="1510">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493"/>
      <c r="Q19" s="1506" t="str">
        <f>B19</f>
        <v>商业繁华度</v>
      </c>
      <c r="R19" s="1507" t="s">
        <v>8</v>
      </c>
      <c r="S19" s="1508">
        <f>F19</f>
        <v>100</v>
      </c>
      <c r="T19" s="1507" t="s">
        <v>8</v>
      </c>
      <c r="U19" s="1508">
        <f>H19</f>
        <v>100</v>
      </c>
      <c r="V19" s="1507" t="s">
        <v>8</v>
      </c>
      <c r="W19" s="1508">
        <f>J19</f>
        <v>100</v>
      </c>
      <c r="X19" s="1501"/>
      <c r="Y19" s="3493"/>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3"/>
      <c r="M20" s="2013"/>
      <c r="N20" s="2013"/>
      <c r="O20" s="2022"/>
      <c r="P20" s="3493"/>
      <c r="Q20" s="1506"/>
      <c r="R20" s="1507"/>
      <c r="S20" s="1508"/>
      <c r="T20" s="1507"/>
      <c r="U20" s="1508"/>
      <c r="V20" s="1507"/>
      <c r="W20" s="1508"/>
      <c r="X20" s="1501"/>
      <c r="Y20" s="3493"/>
      <c r="Z20" s="1509"/>
      <c r="AA20" s="1510">
        <v>1</v>
      </c>
      <c r="AB20" s="1510">
        <v>1</v>
      </c>
      <c r="AC20" s="1510">
        <v>1</v>
      </c>
    </row>
    <row r="21" spans="1:29" ht="71.25">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493"/>
      <c r="Q21" s="1506" t="str">
        <f>B21</f>
        <v>办公集聚程度</v>
      </c>
      <c r="R21" s="1507" t="s">
        <v>8</v>
      </c>
      <c r="S21" s="1508">
        <f>F21</f>
        <v>100</v>
      </c>
      <c r="T21" s="1507" t="s">
        <v>8</v>
      </c>
      <c r="U21" s="1508">
        <f>H21</f>
        <v>100</v>
      </c>
      <c r="V21" s="1507" t="s">
        <v>8</v>
      </c>
      <c r="W21" s="1508">
        <f>J21</f>
        <v>100</v>
      </c>
      <c r="X21" s="1501"/>
      <c r="Y21" s="3493"/>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3"/>
      <c r="M22" s="2013"/>
      <c r="N22" s="2013"/>
      <c r="O22" s="2022"/>
      <c r="P22" s="3493"/>
      <c r="Q22" s="1506"/>
      <c r="R22" s="1507"/>
      <c r="S22" s="1508"/>
      <c r="T22" s="1507"/>
      <c r="U22" s="1508"/>
      <c r="V22" s="1507"/>
      <c r="W22" s="1508"/>
      <c r="X22" s="1501"/>
      <c r="Y22" s="3493"/>
      <c r="Z22" s="1509"/>
      <c r="AA22" s="1510">
        <v>1</v>
      </c>
      <c r="AB22" s="1510">
        <v>1</v>
      </c>
      <c r="AC22" s="1510">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3"/>
      <c r="M23" s="2013"/>
      <c r="N23" s="2013"/>
      <c r="O23" s="2022"/>
      <c r="P23" s="3493"/>
      <c r="Q23" s="1506" t="str">
        <f>B23</f>
        <v>交通便捷度</v>
      </c>
      <c r="R23" s="1507" t="s">
        <v>8</v>
      </c>
      <c r="S23" s="1508">
        <f>F23</f>
        <v>100</v>
      </c>
      <c r="T23" s="1507" t="s">
        <v>8</v>
      </c>
      <c r="U23" s="1508">
        <f>H23</f>
        <v>100</v>
      </c>
      <c r="V23" s="1507" t="s">
        <v>8</v>
      </c>
      <c r="W23" s="1508">
        <f>J23</f>
        <v>100</v>
      </c>
      <c r="X23" s="1501"/>
      <c r="Y23" s="3493"/>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3"/>
      <c r="M24" s="2013"/>
      <c r="N24" s="2013"/>
      <c r="O24" s="2022"/>
      <c r="P24" s="3493"/>
      <c r="Q24" s="1506"/>
      <c r="R24" s="1507"/>
      <c r="S24" s="1508"/>
      <c r="T24" s="1507"/>
      <c r="U24" s="1508"/>
      <c r="V24" s="1507"/>
      <c r="W24" s="1508"/>
      <c r="X24" s="1501"/>
      <c r="Y24" s="3493"/>
      <c r="Z24" s="1509"/>
      <c r="AA24" s="1510">
        <v>1</v>
      </c>
      <c r="AB24" s="1510">
        <v>1</v>
      </c>
      <c r="AC24" s="1510">
        <v>1</v>
      </c>
    </row>
    <row r="25" spans="1:29" ht="27">
      <c r="A25" s="508"/>
      <c r="B25" s="257"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3"/>
      <c r="M25" s="2013"/>
      <c r="N25" s="2013"/>
      <c r="O25" s="2022"/>
      <c r="P25" s="3493"/>
      <c r="Q25" s="1506" t="str">
        <f t="shared" ref="Q25:Q39" si="8">B25</f>
        <v>区域土地利用方向</v>
      </c>
      <c r="R25" s="1507" t="s">
        <v>8</v>
      </c>
      <c r="S25" s="1508">
        <f>F25</f>
        <v>100</v>
      </c>
      <c r="T25" s="1507" t="s">
        <v>8</v>
      </c>
      <c r="U25" s="1508">
        <f>H25</f>
        <v>100</v>
      </c>
      <c r="V25" s="1507" t="s">
        <v>8</v>
      </c>
      <c r="W25" s="1508">
        <f>J25</f>
        <v>100</v>
      </c>
      <c r="X25" s="1501"/>
      <c r="Y25" s="3493"/>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3"/>
      <c r="M26" s="2013"/>
      <c r="N26" s="2013"/>
      <c r="O26" s="2022"/>
      <c r="P26" s="3493"/>
      <c r="Q26" s="1506"/>
      <c r="R26" s="1507"/>
      <c r="S26" s="1508"/>
      <c r="T26" s="1507"/>
      <c r="U26" s="1508"/>
      <c r="V26" s="1507"/>
      <c r="W26" s="1508"/>
      <c r="X26" s="1501"/>
      <c r="Y26" s="3493"/>
      <c r="Z26" s="1509"/>
      <c r="AA26" s="1510"/>
      <c r="AB26" s="1510"/>
      <c r="AC26" s="1510"/>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3"/>
      <c r="M27" s="2013"/>
      <c r="N27" s="2013"/>
      <c r="O27" s="2022"/>
      <c r="P27" s="3493"/>
      <c r="Q27" s="1506" t="str">
        <f t="shared" si="8"/>
        <v>自然及人文环境状况</v>
      </c>
      <c r="R27" s="1507" t="s">
        <v>8</v>
      </c>
      <c r="S27" s="1508">
        <f>F27</f>
        <v>100</v>
      </c>
      <c r="T27" s="1507" t="s">
        <v>8</v>
      </c>
      <c r="U27" s="1508">
        <f>H27</f>
        <v>100</v>
      </c>
      <c r="V27" s="1507" t="s">
        <v>8</v>
      </c>
      <c r="W27" s="1508">
        <f>J27</f>
        <v>100</v>
      </c>
      <c r="X27" s="1501"/>
      <c r="Y27" s="3493"/>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3"/>
      <c r="M28" s="2013"/>
      <c r="N28" s="2013"/>
      <c r="O28" s="2022"/>
      <c r="P28" s="3493"/>
      <c r="Q28" s="1506"/>
      <c r="R28" s="1507"/>
      <c r="S28" s="1508"/>
      <c r="T28" s="1507"/>
      <c r="U28" s="1508"/>
      <c r="V28" s="1507"/>
      <c r="W28" s="1508"/>
      <c r="X28" s="1501"/>
      <c r="Y28" s="3493"/>
      <c r="Z28" s="1509"/>
      <c r="AA28" s="1510">
        <v>1</v>
      </c>
      <c r="AB28" s="1510">
        <v>1</v>
      </c>
      <c r="AC28" s="1510">
        <v>1</v>
      </c>
    </row>
    <row r="29" spans="1:29" s="1202" customFormat="1" ht="42.75">
      <c r="A29" s="570"/>
      <c r="B29" s="2434" t="s">
        <v>2530</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6"/>
      <c r="M29" s="2013"/>
      <c r="N29" s="2013"/>
      <c r="O29" s="2018"/>
      <c r="P29" s="3493"/>
      <c r="Q29" s="1133" t="str">
        <f t="shared" si="8"/>
        <v>公共配套设施</v>
      </c>
      <c r="R29" s="1502" t="s">
        <v>8</v>
      </c>
      <c r="S29" s="1503">
        <f>F29</f>
        <v>100</v>
      </c>
      <c r="T29" s="1502" t="s">
        <v>8</v>
      </c>
      <c r="U29" s="1503">
        <f>H29</f>
        <v>100</v>
      </c>
      <c r="V29" s="1502" t="s">
        <v>8</v>
      </c>
      <c r="W29" s="1503">
        <f>J29</f>
        <v>100</v>
      </c>
      <c r="X29" s="1504"/>
      <c r="Y29" s="3493"/>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6"/>
      <c r="M30" s="2013"/>
      <c r="N30" s="2013"/>
      <c r="O30" s="2018"/>
      <c r="P30" s="3493"/>
      <c r="Q30" s="1133"/>
      <c r="R30" s="1502"/>
      <c r="S30" s="1503"/>
      <c r="T30" s="1502"/>
      <c r="U30" s="1503"/>
      <c r="V30" s="1502"/>
      <c r="W30" s="1503"/>
      <c r="X30" s="1504"/>
      <c r="Y30" s="3493"/>
      <c r="Z30" s="1132"/>
      <c r="AA30" s="1510">
        <v>1</v>
      </c>
      <c r="AB30" s="1510">
        <v>1</v>
      </c>
      <c r="AC30" s="1510">
        <v>1</v>
      </c>
    </row>
    <row r="31" spans="1:29" s="1202" customFormat="1" ht="28.5">
      <c r="A31" s="570"/>
      <c r="B31" s="2434" t="s">
        <v>2531</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6"/>
      <c r="M31" s="2013"/>
      <c r="N31" s="2013"/>
      <c r="O31" s="2018"/>
      <c r="P31" s="3493"/>
      <c r="Q31" s="2427" t="str">
        <f t="shared" ref="Q31" si="9">B31</f>
        <v>基础设施水平</v>
      </c>
      <c r="R31" s="1502" t="s">
        <v>8</v>
      </c>
      <c r="S31" s="1503">
        <f>F31</f>
        <v>100</v>
      </c>
      <c r="T31" s="1502" t="s">
        <v>8</v>
      </c>
      <c r="U31" s="1503">
        <f>H31</f>
        <v>100</v>
      </c>
      <c r="V31" s="1502" t="s">
        <v>8</v>
      </c>
      <c r="W31" s="1503">
        <f>J31</f>
        <v>100</v>
      </c>
      <c r="X31" s="1504"/>
      <c r="Y31" s="3493"/>
      <c r="Z31" s="2426" t="str">
        <f>Q31</f>
        <v>基础设施水平</v>
      </c>
      <c r="AA31" s="1510">
        <f>D31/F31</f>
        <v>1</v>
      </c>
      <c r="AB31" s="1510">
        <f>D31/H31</f>
        <v>1</v>
      </c>
      <c r="AC31" s="1510">
        <f>D31/J31</f>
        <v>1</v>
      </c>
    </row>
    <row r="32" spans="1:29" s="1202" customFormat="1" ht="20.25">
      <c r="A32" s="570"/>
      <c r="B32" s="559"/>
      <c r="C32" s="572"/>
      <c r="D32" s="550"/>
      <c r="E32" s="2435"/>
      <c r="F32" s="548"/>
      <c r="G32" s="572"/>
      <c r="H32" s="548"/>
      <c r="I32" s="572"/>
      <c r="J32" s="548"/>
      <c r="K32" s="524"/>
      <c r="L32" s="2016"/>
      <c r="M32" s="2013"/>
      <c r="N32" s="2013"/>
      <c r="O32" s="2018"/>
      <c r="P32" s="3493"/>
      <c r="Q32" s="2427"/>
      <c r="R32" s="1502"/>
      <c r="S32" s="1503"/>
      <c r="T32" s="1502"/>
      <c r="U32" s="1503"/>
      <c r="V32" s="1502"/>
      <c r="W32" s="1503"/>
      <c r="X32" s="1504"/>
      <c r="Y32" s="3493"/>
      <c r="Z32" s="2426"/>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493"/>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3"/>
      <c r="Z33" s="1509" t="str">
        <f t="shared" ref="Z33:Z47" si="13">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493"/>
      <c r="Q34" s="1506" t="str">
        <f t="shared" si="8"/>
        <v>毗邻道路的类型与等级</v>
      </c>
      <c r="R34" s="1507" t="s">
        <v>8</v>
      </c>
      <c r="S34" s="1508">
        <f t="shared" si="10"/>
        <v>100</v>
      </c>
      <c r="T34" s="1507" t="s">
        <v>8</v>
      </c>
      <c r="U34" s="1508">
        <f t="shared" si="11"/>
        <v>100</v>
      </c>
      <c r="V34" s="1507" t="s">
        <v>8</v>
      </c>
      <c r="W34" s="1508">
        <f t="shared" si="12"/>
        <v>100</v>
      </c>
      <c r="X34" s="1501"/>
      <c r="Y34" s="3493"/>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3"/>
      <c r="M35" s="2013"/>
      <c r="N35" s="2013"/>
      <c r="O35" s="2022"/>
      <c r="P35" s="3493"/>
      <c r="Q35" s="1506"/>
      <c r="R35" s="1507"/>
      <c r="S35" s="1508"/>
      <c r="T35" s="1507"/>
      <c r="U35" s="1508"/>
      <c r="V35" s="1507"/>
      <c r="W35" s="1508"/>
      <c r="X35" s="1501"/>
      <c r="Y35" s="3493"/>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493"/>
      <c r="Q36" s="1506" t="str">
        <f t="shared" si="8"/>
        <v>土地级别</v>
      </c>
      <c r="R36" s="1507" t="s">
        <v>8</v>
      </c>
      <c r="S36" s="1508">
        <f t="shared" si="10"/>
        <v>100</v>
      </c>
      <c r="T36" s="1507" t="s">
        <v>8</v>
      </c>
      <c r="U36" s="1508">
        <f t="shared" si="11"/>
        <v>100</v>
      </c>
      <c r="V36" s="1507" t="s">
        <v>8</v>
      </c>
      <c r="W36" s="1508">
        <f t="shared" si="12"/>
        <v>100</v>
      </c>
      <c r="X36" s="1501"/>
      <c r="Y36" s="3493"/>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493"/>
      <c r="Q37" s="1506">
        <f t="shared" si="8"/>
        <v>111</v>
      </c>
      <c r="R37" s="1507" t="s">
        <v>8</v>
      </c>
      <c r="S37" s="1508">
        <f t="shared" si="10"/>
        <v>100</v>
      </c>
      <c r="T37" s="1507" t="s">
        <v>8</v>
      </c>
      <c r="U37" s="1508">
        <f t="shared" si="11"/>
        <v>100</v>
      </c>
      <c r="V37" s="1507" t="s">
        <v>8</v>
      </c>
      <c r="W37" s="1508">
        <f t="shared" si="12"/>
        <v>100</v>
      </c>
      <c r="X37" s="1501"/>
      <c r="Y37" s="3493"/>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494" t="s">
        <v>544</v>
      </c>
      <c r="Q38" s="1506">
        <f t="shared" si="8"/>
        <v>111</v>
      </c>
      <c r="R38" s="1507" t="s">
        <v>8</v>
      </c>
      <c r="S38" s="1508">
        <f t="shared" si="10"/>
        <v>100</v>
      </c>
      <c r="T38" s="1507" t="s">
        <v>8</v>
      </c>
      <c r="U38" s="1508">
        <f t="shared" si="11"/>
        <v>100</v>
      </c>
      <c r="V38" s="1507" t="s">
        <v>8</v>
      </c>
      <c r="W38" s="1508">
        <f t="shared" si="12"/>
        <v>100</v>
      </c>
      <c r="X38" s="1501"/>
      <c r="Y38" s="3495" t="s">
        <v>544</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495"/>
      <c r="Q39" s="1506">
        <f t="shared" si="8"/>
        <v>111</v>
      </c>
      <c r="R39" s="1511" t="s">
        <v>8</v>
      </c>
      <c r="S39" s="1512">
        <f t="shared" si="10"/>
        <v>100</v>
      </c>
      <c r="T39" s="1511" t="s">
        <v>8</v>
      </c>
      <c r="U39" s="1512">
        <f t="shared" si="11"/>
        <v>100</v>
      </c>
      <c r="V39" s="1511" t="s">
        <v>8</v>
      </c>
      <c r="W39" s="1512">
        <f t="shared" si="12"/>
        <v>100</v>
      </c>
      <c r="X39" s="1513"/>
      <c r="Y39" s="3495"/>
      <c r="Z39" s="1514">
        <f t="shared" si="13"/>
        <v>111</v>
      </c>
      <c r="AA39" s="1510">
        <f t="shared" si="3"/>
        <v>1</v>
      </c>
      <c r="AB39" s="1510">
        <f t="shared" si="4"/>
        <v>1</v>
      </c>
      <c r="AC39" s="1510">
        <f t="shared" si="5"/>
        <v>1</v>
      </c>
    </row>
    <row r="40" spans="1:29" ht="20.25">
      <c r="A40" s="2623" t="s">
        <v>2736</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3"/>
      <c r="M40" s="2013"/>
      <c r="N40" s="2013"/>
      <c r="O40" s="2022"/>
      <c r="P40" s="3495"/>
      <c r="Q40" s="1506" t="str">
        <f>B40</f>
        <v>宗地面积</v>
      </c>
      <c r="R40" s="1507" t="s">
        <v>8</v>
      </c>
      <c r="S40" s="1508" t="e">
        <f t="shared" si="10"/>
        <v>#N/A</v>
      </c>
      <c r="T40" s="1507" t="s">
        <v>8</v>
      </c>
      <c r="U40" s="1508" t="e">
        <f t="shared" si="11"/>
        <v>#N/A</v>
      </c>
      <c r="V40" s="1507" t="s">
        <v>8</v>
      </c>
      <c r="W40" s="1508" t="e">
        <f t="shared" si="12"/>
        <v>#N/A</v>
      </c>
      <c r="X40" s="1501"/>
      <c r="Y40" s="3495"/>
      <c r="Z40" s="1509" t="str">
        <f t="shared" si="13"/>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3"/>
      <c r="M41" s="2013"/>
      <c r="N41" s="2013"/>
      <c r="O41" s="2022"/>
      <c r="P41" s="3495"/>
      <c r="Q41" s="1506" t="str">
        <f t="shared" ref="Q41:Q47" si="14">B41</f>
        <v>宗地形状</v>
      </c>
      <c r="R41" s="1507" t="s">
        <v>8</v>
      </c>
      <c r="S41" s="1508">
        <f t="shared" si="10"/>
        <v>100</v>
      </c>
      <c r="T41" s="1507" t="s">
        <v>8</v>
      </c>
      <c r="U41" s="1508">
        <f t="shared" si="11"/>
        <v>100</v>
      </c>
      <c r="V41" s="1507" t="s">
        <v>8</v>
      </c>
      <c r="W41" s="1508">
        <f t="shared" si="12"/>
        <v>100</v>
      </c>
      <c r="X41" s="1501"/>
      <c r="Y41" s="3495"/>
      <c r="Z41" s="1509" t="str">
        <f t="shared" si="13"/>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495"/>
      <c r="Q42" s="1506" t="str">
        <f t="shared" si="14"/>
        <v>临街宽度及深度</v>
      </c>
      <c r="R42" s="1507" t="s">
        <v>8</v>
      </c>
      <c r="S42" s="1508">
        <f t="shared" si="10"/>
        <v>100</v>
      </c>
      <c r="T42" s="1507" t="s">
        <v>8</v>
      </c>
      <c r="U42" s="1508">
        <f t="shared" si="11"/>
        <v>100</v>
      </c>
      <c r="V42" s="1507" t="s">
        <v>8</v>
      </c>
      <c r="W42" s="1508">
        <f t="shared" si="12"/>
        <v>100</v>
      </c>
      <c r="X42" s="1501"/>
      <c r="Y42" s="3495"/>
      <c r="Z42" s="1509" t="str">
        <f t="shared" si="13"/>
        <v>临街宽度及深度</v>
      </c>
      <c r="AA42" s="1510">
        <f t="shared" si="3"/>
        <v>1</v>
      </c>
      <c r="AB42" s="1510">
        <f t="shared" si="4"/>
        <v>1</v>
      </c>
      <c r="AC42" s="1510">
        <f t="shared" si="5"/>
        <v>1</v>
      </c>
    </row>
    <row r="43" spans="1:29" s="1202" customFormat="1" ht="20.25">
      <c r="A43" s="593"/>
      <c r="B43" s="1808" t="s">
        <v>2409</v>
      </c>
      <c r="C43" s="594"/>
      <c r="D43" s="253">
        <v>100</v>
      </c>
      <c r="E43" s="594"/>
      <c r="F43" s="533">
        <f>SUMIF(125:125,E43,126:126)-SUMIF(125:125,C43,126:126)+100</f>
        <v>100</v>
      </c>
      <c r="G43" s="594"/>
      <c r="H43" s="533">
        <f>SUMIF(125:125,G43,126:126)-SUMIF(125:125,C43,126:126)+100</f>
        <v>100</v>
      </c>
      <c r="I43" s="594"/>
      <c r="J43" s="533">
        <f>SUMIF(125:125,I43,126:126)-SUMIF(125:125,C43,126:126)+100</f>
        <v>100</v>
      </c>
      <c r="K43" s="577"/>
      <c r="L43" s="2016"/>
      <c r="M43" s="2013"/>
      <c r="N43" s="2013"/>
      <c r="O43" s="2018"/>
      <c r="P43" s="3495"/>
      <c r="Q43" s="1506" t="str">
        <f t="shared" si="14"/>
        <v>宗地开发程度</v>
      </c>
      <c r="R43" s="1502" t="s">
        <v>8</v>
      </c>
      <c r="S43" s="1503">
        <f t="shared" si="10"/>
        <v>100</v>
      </c>
      <c r="T43" s="1502" t="s">
        <v>8</v>
      </c>
      <c r="U43" s="1503">
        <f t="shared" si="11"/>
        <v>100</v>
      </c>
      <c r="V43" s="1502" t="s">
        <v>8</v>
      </c>
      <c r="W43" s="1503">
        <f t="shared" si="12"/>
        <v>100</v>
      </c>
      <c r="X43" s="1504"/>
      <c r="Y43" s="3495"/>
      <c r="Z43" s="1132" t="str">
        <f t="shared" si="13"/>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495" t="s">
        <v>544</v>
      </c>
      <c r="Q44" s="1506" t="str">
        <f t="shared" si="14"/>
        <v>工程地质条件</v>
      </c>
      <c r="R44" s="1507" t="s">
        <v>8</v>
      </c>
      <c r="S44" s="1508">
        <f t="shared" si="10"/>
        <v>100</v>
      </c>
      <c r="T44" s="1507" t="s">
        <v>8</v>
      </c>
      <c r="U44" s="1508">
        <f t="shared" si="11"/>
        <v>100</v>
      </c>
      <c r="V44" s="1507" t="s">
        <v>8</v>
      </c>
      <c r="W44" s="1508">
        <f t="shared" si="12"/>
        <v>100</v>
      </c>
      <c r="X44" s="1501"/>
      <c r="Y44" s="3495" t="s">
        <v>544</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495"/>
      <c r="Q45" s="1506">
        <f t="shared" si="14"/>
        <v>111</v>
      </c>
      <c r="R45" s="1507" t="s">
        <v>8</v>
      </c>
      <c r="S45" s="1508">
        <f t="shared" si="10"/>
        <v>100</v>
      </c>
      <c r="T45" s="1507" t="s">
        <v>8</v>
      </c>
      <c r="U45" s="1508">
        <f t="shared" si="11"/>
        <v>100</v>
      </c>
      <c r="V45" s="1507" t="s">
        <v>8</v>
      </c>
      <c r="W45" s="1508">
        <f t="shared" si="12"/>
        <v>100</v>
      </c>
      <c r="X45" s="1501"/>
      <c r="Y45" s="3495"/>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495"/>
      <c r="Q46" s="1506">
        <f t="shared" si="14"/>
        <v>111</v>
      </c>
      <c r="R46" s="1507" t="s">
        <v>8</v>
      </c>
      <c r="S46" s="1508">
        <f t="shared" si="10"/>
        <v>100</v>
      </c>
      <c r="T46" s="1507" t="s">
        <v>8</v>
      </c>
      <c r="U46" s="1508">
        <f t="shared" si="11"/>
        <v>100</v>
      </c>
      <c r="V46" s="1507" t="s">
        <v>8</v>
      </c>
      <c r="W46" s="1508">
        <f t="shared" si="12"/>
        <v>100</v>
      </c>
      <c r="X46" s="1501"/>
      <c r="Y46" s="3495"/>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495"/>
      <c r="Q47" s="1506">
        <f t="shared" si="14"/>
        <v>111</v>
      </c>
      <c r="R47" s="1511" t="s">
        <v>8</v>
      </c>
      <c r="S47" s="1512">
        <f t="shared" si="10"/>
        <v>100</v>
      </c>
      <c r="T47" s="1511" t="s">
        <v>8</v>
      </c>
      <c r="U47" s="1512">
        <f t="shared" si="11"/>
        <v>100</v>
      </c>
      <c r="V47" s="1511" t="s">
        <v>8</v>
      </c>
      <c r="W47" s="1512">
        <f t="shared" si="12"/>
        <v>100</v>
      </c>
      <c r="X47" s="1513"/>
      <c r="Y47" s="3495"/>
      <c r="Z47" s="1514">
        <f t="shared" si="13"/>
        <v>111</v>
      </c>
      <c r="AA47" s="1510">
        <f t="shared" si="3"/>
        <v>1</v>
      </c>
      <c r="AB47" s="1510">
        <f t="shared" si="4"/>
        <v>1</v>
      </c>
      <c r="AC47" s="1510">
        <f t="shared" si="5"/>
        <v>1</v>
      </c>
    </row>
    <row r="48" spans="1:29" ht="20.25">
      <c r="A48" s="600" t="s">
        <v>550</v>
      </c>
      <c r="B48" s="601" t="s">
        <v>2903</v>
      </c>
      <c r="C48" s="602" t="s">
        <v>1</v>
      </c>
      <c r="D48" s="603"/>
      <c r="E48" s="604"/>
      <c r="F48" s="605"/>
      <c r="G48" s="606"/>
      <c r="H48" s="607"/>
      <c r="I48" s="604"/>
      <c r="J48" s="607"/>
      <c r="K48" s="1293"/>
      <c r="L48" s="2025"/>
      <c r="M48" s="2013"/>
      <c r="N48" s="2013"/>
      <c r="O48" s="2026"/>
      <c r="P48" s="3458" t="str">
        <f>A48</f>
        <v>成交单价</v>
      </c>
      <c r="Q48" s="3458"/>
      <c r="R48" s="3459">
        <f>E48</f>
        <v>0</v>
      </c>
      <c r="S48" s="3459"/>
      <c r="T48" s="3459">
        <f>G48</f>
        <v>0</v>
      </c>
      <c r="U48" s="3459"/>
      <c r="V48" s="3459">
        <f>I48</f>
        <v>0</v>
      </c>
      <c r="W48" s="3459"/>
      <c r="X48" s="1496"/>
      <c r="Y48" s="1515"/>
      <c r="Z48" s="1496"/>
      <c r="AA48" s="1496"/>
      <c r="AB48" s="1496"/>
      <c r="AC48" s="1496"/>
    </row>
    <row r="49" spans="1:29" ht="21" thickBot="1">
      <c r="A49" s="608" t="s">
        <v>2674</v>
      </c>
      <c r="B49" s="609"/>
      <c r="C49" s="610" t="e">
        <f>R50</f>
        <v>#DIV/0!</v>
      </c>
      <c r="D49" s="3013" t="s">
        <v>2969</v>
      </c>
      <c r="E49" s="610" t="e">
        <f>R49</f>
        <v>#DIV/0!</v>
      </c>
      <c r="F49" s="3014"/>
      <c r="G49" s="611" t="e">
        <f>T49</f>
        <v>#DIV/0!</v>
      </c>
      <c r="H49" s="3014"/>
      <c r="I49" s="610" t="e">
        <f>V49</f>
        <v>#DIV/0!</v>
      </c>
      <c r="J49" s="3014"/>
      <c r="K49" s="3015">
        <f>F49+H49+J49</f>
        <v>0</v>
      </c>
      <c r="L49" s="2025"/>
      <c r="M49" s="2013"/>
      <c r="N49" s="2013"/>
      <c r="O49" s="2026"/>
      <c r="P49" s="3458" t="str">
        <f>A49</f>
        <v>比较价格（元/平方米）</v>
      </c>
      <c r="Q49" s="3458"/>
      <c r="R49" s="3460" t="e">
        <f>ROUND(PRODUCT(R48,AA9:AA47),0)</f>
        <v>#DIV/0!</v>
      </c>
      <c r="S49" s="3460"/>
      <c r="T49" s="3460" t="e">
        <f>ROUND(PRODUCT(T48,AB9:AB47),0)</f>
        <v>#DIV/0!</v>
      </c>
      <c r="U49" s="3460"/>
      <c r="V49" s="3460" t="e">
        <f>ROUND(PRODUCT(V48,AC9:AC47),0)</f>
        <v>#DIV/0!</v>
      </c>
      <c r="W49" s="3460"/>
      <c r="X49" s="1496"/>
      <c r="Y49" s="1496"/>
      <c r="Z49" s="1496"/>
      <c r="AA49" s="1496"/>
      <c r="AB49" s="1496"/>
      <c r="AC49" s="1496"/>
    </row>
    <row r="50" spans="1:29" ht="21" thickBot="1">
      <c r="A50" s="612" t="s">
        <v>2904</v>
      </c>
      <c r="B50" s="613"/>
      <c r="C50" s="614" t="e">
        <f>R50</f>
        <v>#DIV/0!</v>
      </c>
      <c r="D50" s="614"/>
      <c r="E50" s="614"/>
      <c r="F50" s="614"/>
      <c r="G50" s="614"/>
      <c r="H50" s="614"/>
      <c r="I50" s="614"/>
      <c r="J50" s="614"/>
      <c r="K50" s="1294"/>
      <c r="L50" s="2025"/>
      <c r="M50" s="2013"/>
      <c r="N50" s="2013"/>
      <c r="O50" s="2026"/>
      <c r="P50" s="3455" t="str">
        <f>A50</f>
        <v>估价对象XX用房的比较价格（楼面单价，元/平方米）</v>
      </c>
      <c r="Q50" s="3456"/>
      <c r="R50" s="3457" t="e">
        <f>ROUND(IF(D49="简单平均",AVERAGE(R49:W49),R49*F49+T49*H49+V49*J49),0)</f>
        <v>#DIV/0!</v>
      </c>
      <c r="S50" s="3457"/>
      <c r="T50" s="3457"/>
      <c r="U50" s="3457"/>
      <c r="V50" s="3457"/>
      <c r="W50" s="3457"/>
      <c r="X50" s="1496"/>
      <c r="Y50" s="1496"/>
      <c r="Z50" s="1496"/>
      <c r="AA50" s="1496"/>
      <c r="AB50" s="1496"/>
      <c r="AC50" s="1496"/>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7" t="s">
        <v>1715</v>
      </c>
      <c r="D57" s="2106" t="s">
        <v>2281</v>
      </c>
      <c r="E57" s="622" t="s">
        <v>556</v>
      </c>
      <c r="F57" s="623" t="s">
        <v>557</v>
      </c>
      <c r="G57" s="3484" t="s">
        <v>2269</v>
      </c>
      <c r="H57" s="3485"/>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t="e">
        <f>C50</f>
        <v>#DIV/0!</v>
      </c>
      <c r="C58" s="626">
        <v>1</v>
      </c>
      <c r="D58" s="2107">
        <v>1</v>
      </c>
      <c r="E58" s="626">
        <f>'数据-汇总表'!E8+'数据-汇总表'!E9</f>
        <v>9501</v>
      </c>
      <c r="F58" s="627" t="e">
        <f t="shared" ref="F58:F67" si="15">ROUND(B58*E58/10000,0)</f>
        <v>#DIV/0!</v>
      </c>
      <c r="G58" s="3486"/>
      <c r="H58" s="3487"/>
      <c r="I58" s="1494">
        <v>1</v>
      </c>
      <c r="J58" s="1494">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t="e">
        <f>ROUND($C$50*C59*D59,0)</f>
        <v>#DIV/0!</v>
      </c>
      <c r="C59" s="371">
        <f t="shared" ref="C59:C67" si="16">IF($C$57="北京市系数",I59,J59)</f>
        <v>0.7</v>
      </c>
      <c r="D59" s="2108">
        <v>0.25</v>
      </c>
      <c r="E59" s="630">
        <v>0</v>
      </c>
      <c r="F59" s="627" t="e">
        <f t="shared" si="15"/>
        <v>#DIV/0!</v>
      </c>
      <c r="G59" s="3488" t="s">
        <v>2270</v>
      </c>
      <c r="H59" s="1861" t="str">
        <f>项目基本情况!B43</f>
        <v>三级</v>
      </c>
      <c r="I59" s="1494">
        <f>SUMIF(修正!$A$45:$A$56,H59,修正!B45:B56)</f>
        <v>0.7</v>
      </c>
      <c r="J59" s="1495"/>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t="e">
        <f t="shared" ref="B60:B67" si="17">ROUND($C$50*C60*D60,0)</f>
        <v>#DIV/0!</v>
      </c>
      <c r="C60" s="371">
        <f t="shared" si="16"/>
        <v>0.4</v>
      </c>
      <c r="D60" s="2108">
        <v>0.25</v>
      </c>
      <c r="E60" s="630">
        <v>0</v>
      </c>
      <c r="F60" s="627" t="e">
        <f t="shared" si="15"/>
        <v>#DIV/0!</v>
      </c>
      <c r="G60" s="3488"/>
      <c r="H60" s="1861" t="str">
        <f>项目基本情况!B43</f>
        <v>三级</v>
      </c>
      <c r="I60" s="1494">
        <f>SUMIF(修正!$A$45:$A$56,H60,修正!C45:C56)</f>
        <v>0.4</v>
      </c>
      <c r="J60" s="1495"/>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t="e">
        <f t="shared" si="17"/>
        <v>#DIV/0!</v>
      </c>
      <c r="C61" s="371">
        <f t="shared" si="16"/>
        <v>0.28000000000000003</v>
      </c>
      <c r="D61" s="2108">
        <v>0.25</v>
      </c>
      <c r="E61" s="630">
        <v>0</v>
      </c>
      <c r="F61" s="627" t="e">
        <f t="shared" si="15"/>
        <v>#DIV/0!</v>
      </c>
      <c r="G61" s="3488"/>
      <c r="H61" s="1861" t="str">
        <f>项目基本情况!B43</f>
        <v>三级</v>
      </c>
      <c r="I61" s="1494">
        <f>SUMIF(修正!$A$45:$A$56,H61,修正!D45:D56)</f>
        <v>0.28000000000000003</v>
      </c>
      <c r="J61" s="1495"/>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t="e">
        <f t="shared" si="17"/>
        <v>#DIV/0!</v>
      </c>
      <c r="C62" s="371">
        <f t="shared" si="16"/>
        <v>0.25</v>
      </c>
      <c r="D62" s="2108">
        <v>0.25</v>
      </c>
      <c r="E62" s="630">
        <v>0</v>
      </c>
      <c r="F62" s="627" t="e">
        <f t="shared" si="15"/>
        <v>#DIV/0!</v>
      </c>
      <c r="G62" s="3488"/>
      <c r="H62" s="1861" t="str">
        <f>项目基本情况!B43</f>
        <v>三级</v>
      </c>
      <c r="I62" s="1494">
        <f>SUMIF(修正!$A$45:$A$56,H62,修正!E45:E56)</f>
        <v>0.25</v>
      </c>
      <c r="J62" s="1495"/>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29" t="e">
        <f t="shared" si="17"/>
        <v>#DIV/0!</v>
      </c>
      <c r="C63" s="371">
        <f t="shared" si="16"/>
        <v>0.3</v>
      </c>
      <c r="D63" s="2108">
        <v>0.25</v>
      </c>
      <c r="E63" s="632">
        <f>'数据-汇总表'!E11</f>
        <v>0</v>
      </c>
      <c r="F63" s="627" t="e">
        <f t="shared" si="15"/>
        <v>#DIV/0!</v>
      </c>
      <c r="G63" s="1858" t="s">
        <v>2271</v>
      </c>
      <c r="H63" s="1861" t="str">
        <f>项目基本情况!C43</f>
        <v>二级</v>
      </c>
      <c r="I63" s="1494">
        <f>SUMIF(修正!$A$45:$A$56,H63,修正!F45:F56)</f>
        <v>0.3</v>
      </c>
      <c r="J63" s="1495"/>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t="e">
        <f t="shared" si="17"/>
        <v>#DIV/0!</v>
      </c>
      <c r="C64" s="371">
        <f t="shared" si="16"/>
        <v>0.3</v>
      </c>
      <c r="D64" s="2108">
        <v>0.25</v>
      </c>
      <c r="E64" s="632">
        <f>'数据-汇总表'!E12</f>
        <v>0</v>
      </c>
      <c r="F64" s="627" t="e">
        <f t="shared" si="15"/>
        <v>#DIV/0!</v>
      </c>
      <c r="G64" s="1859" t="s">
        <v>1668</v>
      </c>
      <c r="H64" s="1857" t="str">
        <f>IF(G64="商业",项目基本情况!B43,IF(G64="办公",项目基本情况!C43,IF(G64="住宅",项目基本情况!D43,项目基本情况!E43)))</f>
        <v>二级</v>
      </c>
      <c r="I64" s="1494">
        <f>SUMIF(修正!$A$45:$A$56,H64,修正!G45:G56)</f>
        <v>0.3</v>
      </c>
      <c r="J64" s="1495"/>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t="e">
        <f t="shared" si="17"/>
        <v>#DIV/0!</v>
      </c>
      <c r="C65" s="371">
        <f t="shared" si="16"/>
        <v>0</v>
      </c>
      <c r="D65" s="2108">
        <v>0.25</v>
      </c>
      <c r="E65" s="632">
        <f>'数据-汇总表'!E13</f>
        <v>0</v>
      </c>
      <c r="F65" s="627" t="e">
        <f t="shared" si="15"/>
        <v>#DIV/0!</v>
      </c>
      <c r="G65" s="1859" t="s">
        <v>914</v>
      </c>
      <c r="H65" s="1857">
        <f>IF(G65="商业",项目基本情况!B43,IF(G65="办公",项目基本情况!C43,IF(G65="住宅",项目基本情况!D43,项目基本情况!E43)))</f>
        <v>0</v>
      </c>
      <c r="I65" s="1494">
        <f>SUMIF(修正!$A$45:$A$56,H65,修正!H45:H56)</f>
        <v>0</v>
      </c>
      <c r="J65" s="1495"/>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t="e">
        <f t="shared" si="17"/>
        <v>#DIV/0!</v>
      </c>
      <c r="C66" s="371">
        <f t="shared" si="16"/>
        <v>0.2</v>
      </c>
      <c r="D66" s="2108">
        <v>0.25</v>
      </c>
      <c r="E66" s="632">
        <f>'数据-汇总表'!E14</f>
        <v>0</v>
      </c>
      <c r="F66" s="627" t="e">
        <f t="shared" si="15"/>
        <v>#DIV/0!</v>
      </c>
      <c r="G66" s="1858" t="s">
        <v>2270</v>
      </c>
      <c r="H66" s="1861" t="str">
        <f>项目基本情况!B43</f>
        <v>三级</v>
      </c>
      <c r="I66" s="1494">
        <f>SUMIF(修正!$A$45:$A$56,H66,修正!H45:H56)</f>
        <v>0.2</v>
      </c>
      <c r="J66" s="1495"/>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t="e">
        <f t="shared" si="17"/>
        <v>#DIV/0!</v>
      </c>
      <c r="C67" s="371">
        <f t="shared" si="16"/>
        <v>0.25</v>
      </c>
      <c r="D67" s="2108">
        <v>0.25</v>
      </c>
      <c r="E67" s="632">
        <f>'数据-汇总表'!E15</f>
        <v>0</v>
      </c>
      <c r="F67" s="627" t="e">
        <f t="shared" si="15"/>
        <v>#DIV/0!</v>
      </c>
      <c r="G67" s="1860" t="s">
        <v>2271</v>
      </c>
      <c r="H67" s="1862" t="str">
        <f>项目基本情况!C43</f>
        <v>二级</v>
      </c>
      <c r="I67" s="1494">
        <f>SUMIF(修正!$A$45:$A$56,H67,修正!H45:H56)</f>
        <v>0.25</v>
      </c>
      <c r="J67" s="1495"/>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2282</v>
      </c>
      <c r="E68" s="634">
        <f>IF(B48="楼面地价",SUM(E58:E67),'数据-汇总表'!D3)</f>
        <v>0</v>
      </c>
      <c r="F68" s="635"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2021-6-1</v>
      </c>
      <c r="D70" s="2515">
        <f>EDATE(C70,-3)</f>
        <v>44256</v>
      </c>
      <c r="E70" s="2515">
        <f t="shared" ref="E70:N70" si="18">EDATE(D70,-3)</f>
        <v>44166</v>
      </c>
      <c r="F70" s="2515">
        <f t="shared" si="18"/>
        <v>44075</v>
      </c>
      <c r="G70" s="2515">
        <f t="shared" si="18"/>
        <v>43983</v>
      </c>
      <c r="H70" s="2515">
        <f t="shared" si="18"/>
        <v>43891</v>
      </c>
      <c r="I70" s="2515">
        <f t="shared" si="18"/>
        <v>43800</v>
      </c>
      <c r="J70" s="2515">
        <f t="shared" si="18"/>
        <v>43709</v>
      </c>
      <c r="K70" s="2515">
        <f t="shared" si="18"/>
        <v>43617</v>
      </c>
      <c r="L70" s="2515">
        <f t="shared" si="18"/>
        <v>43525</v>
      </c>
      <c r="M70" s="2515">
        <f t="shared" si="18"/>
        <v>43435</v>
      </c>
      <c r="N70" s="2515">
        <f t="shared" si="18"/>
        <v>43344</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2021-2</v>
      </c>
      <c r="D72" s="2517" t="str">
        <f>YEAR(D70)&amp;"-"&amp;ROUNDUP(MONTH(D70)/3,0)</f>
        <v>2021-1</v>
      </c>
      <c r="E72" s="2517" t="str">
        <f t="shared" ref="E72:N72" si="19">YEAR(E70)&amp;"-"&amp;ROUNDUP(MONTH(E70)/3,0)</f>
        <v>2020-4</v>
      </c>
      <c r="F72" s="2517" t="str">
        <f t="shared" si="19"/>
        <v>2020-3</v>
      </c>
      <c r="G72" s="2517" t="str">
        <f t="shared" si="19"/>
        <v>2020-2</v>
      </c>
      <c r="H72" s="2517" t="str">
        <f t="shared" si="19"/>
        <v>2020-1</v>
      </c>
      <c r="I72" s="2517" t="str">
        <f t="shared" si="19"/>
        <v>2019-4</v>
      </c>
      <c r="J72" s="2517" t="str">
        <f t="shared" si="19"/>
        <v>2019-3</v>
      </c>
      <c r="K72" s="2517" t="str">
        <f t="shared" si="19"/>
        <v>2019-2</v>
      </c>
      <c r="L72" s="2517" t="str">
        <f t="shared" si="19"/>
        <v>2019-1</v>
      </c>
      <c r="M72" s="2517" t="str">
        <f t="shared" si="19"/>
        <v>2018-4</v>
      </c>
      <c r="N72" s="2517" t="str">
        <f t="shared" si="19"/>
        <v>2018-3</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2" t="str">
        <f>"北京市平均增长率"&amp;TEXT(SUMIF(基准地价!N21:N25,A73,基准地价!P21:P25),"0.00%")</f>
        <v>北京市平均增长率1.73%</v>
      </c>
      <c r="C73" s="882">
        <v>100</v>
      </c>
      <c r="D73" s="721"/>
      <c r="E73" s="721"/>
      <c r="F73" s="721"/>
      <c r="G73" s="721"/>
      <c r="H73" s="721"/>
      <c r="I73" s="721"/>
      <c r="J73" s="721"/>
      <c r="K73" s="721"/>
      <c r="L73" s="721"/>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591"/>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c r="D82" s="534"/>
      <c r="E82" s="534"/>
      <c r="F82" s="534"/>
      <c r="G82" s="534"/>
      <c r="H82" s="534"/>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2530</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2532</v>
      </c>
      <c r="C104" s="2441" t="s">
        <v>2533</v>
      </c>
      <c r="D104" s="2441" t="s">
        <v>2534</v>
      </c>
      <c r="E104" s="2441" t="s">
        <v>2535</v>
      </c>
      <c r="F104" s="2441" t="s">
        <v>2536</v>
      </c>
      <c r="G104" s="2441" t="s">
        <v>2537</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c r="D119" s="721"/>
      <c r="E119" s="721"/>
      <c r="F119" s="721"/>
      <c r="G119" s="721"/>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c r="D120" s="717"/>
      <c r="E120" s="717"/>
      <c r="F120" s="717"/>
      <c r="G120" s="717"/>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709"/>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2410</v>
      </c>
      <c r="C125" s="1326"/>
      <c r="D125" s="1326"/>
      <c r="E125" s="1326"/>
      <c r="F125" s="1326"/>
      <c r="G125" s="1326"/>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679"/>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501"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1" t="s">
        <v>1676</v>
      </c>
      <c r="B3" s="503"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5" t="s">
        <v>515</v>
      </c>
      <c r="B6" s="506"/>
      <c r="C6" s="3464" t="s">
        <v>516</v>
      </c>
      <c r="D6" s="3465"/>
      <c r="E6" s="3498" t="s">
        <v>517</v>
      </c>
      <c r="F6" s="3499"/>
      <c r="G6" s="3464" t="s">
        <v>518</v>
      </c>
      <c r="H6" s="3465"/>
      <c r="I6" s="3464" t="s">
        <v>519</v>
      </c>
      <c r="J6" s="3465"/>
      <c r="K6" s="507" t="s">
        <v>520</v>
      </c>
      <c r="L6" s="2014"/>
      <c r="M6" s="2015"/>
      <c r="N6" s="2015"/>
      <c r="O6" s="2015"/>
      <c r="P6" s="3466" t="s">
        <v>521</v>
      </c>
      <c r="Q6" s="3467"/>
      <c r="R6" s="3472" t="s">
        <v>517</v>
      </c>
      <c r="S6" s="3473"/>
      <c r="T6" s="3472" t="s">
        <v>518</v>
      </c>
      <c r="U6" s="3473"/>
      <c r="V6" s="3459" t="s">
        <v>519</v>
      </c>
      <c r="W6" s="3459"/>
      <c r="X6" s="1501"/>
      <c r="Y6" s="3472" t="s">
        <v>521</v>
      </c>
      <c r="Z6" s="3473"/>
      <c r="AA6" s="3461" t="s">
        <v>517</v>
      </c>
      <c r="AB6" s="3462" t="s">
        <v>518</v>
      </c>
      <c r="AC6" s="3461" t="s">
        <v>519</v>
      </c>
    </row>
    <row r="7" spans="1:29" ht="15">
      <c r="A7" s="508"/>
      <c r="B7" s="509"/>
      <c r="C7" s="3480" t="s">
        <v>2898</v>
      </c>
      <c r="D7" s="3481"/>
      <c r="E7" s="3500" t="s">
        <v>2899</v>
      </c>
      <c r="F7" s="3501"/>
      <c r="G7" s="3480" t="s">
        <v>2900</v>
      </c>
      <c r="H7" s="3481"/>
      <c r="I7" s="3480" t="s">
        <v>2901</v>
      </c>
      <c r="J7" s="3481"/>
      <c r="K7" s="507"/>
      <c r="L7" s="2014"/>
      <c r="M7" s="2015"/>
      <c r="N7" s="2015"/>
      <c r="O7" s="2015"/>
      <c r="P7" s="3468"/>
      <c r="Q7" s="3469"/>
      <c r="R7" s="3474"/>
      <c r="S7" s="3475"/>
      <c r="T7" s="3474"/>
      <c r="U7" s="3475"/>
      <c r="V7" s="3459"/>
      <c r="W7" s="3459"/>
      <c r="X7" s="1501"/>
      <c r="Y7" s="3474"/>
      <c r="Z7" s="3475"/>
      <c r="AA7" s="3462"/>
      <c r="AB7" s="3462"/>
      <c r="AC7" s="3462"/>
    </row>
    <row r="8" spans="1:29" ht="15.75" thickBot="1">
      <c r="A8" s="510"/>
      <c r="B8" s="511"/>
      <c r="C8" s="3478" t="s">
        <v>2902</v>
      </c>
      <c r="D8" s="3479"/>
      <c r="E8" s="3496" t="s">
        <v>2902</v>
      </c>
      <c r="F8" s="3497"/>
      <c r="G8" s="3478" t="s">
        <v>2902</v>
      </c>
      <c r="H8" s="3479"/>
      <c r="I8" s="3478" t="s">
        <v>2902</v>
      </c>
      <c r="J8" s="3479"/>
      <c r="K8" s="507" t="s">
        <v>522</v>
      </c>
      <c r="L8" s="2014"/>
      <c r="M8" s="2015"/>
      <c r="N8" s="2015"/>
      <c r="O8" s="2015"/>
      <c r="P8" s="3470"/>
      <c r="Q8" s="3471"/>
      <c r="R8" s="3474"/>
      <c r="S8" s="3475"/>
      <c r="T8" s="3476"/>
      <c r="U8" s="3477"/>
      <c r="V8" s="3459"/>
      <c r="W8" s="3459"/>
      <c r="X8" s="1501"/>
      <c r="Y8" s="3476"/>
      <c r="Z8" s="3477"/>
      <c r="AA8" s="3463"/>
      <c r="AB8" s="3463"/>
      <c r="AC8" s="3463"/>
    </row>
    <row r="9" spans="1:29" s="1202" customFormat="1" ht="15.75" thickBot="1">
      <c r="A9" s="2628"/>
      <c r="B9" s="2635" t="s">
        <v>523</v>
      </c>
      <c r="C9" s="512">
        <f>'数据-取费表'!B2</f>
        <v>44371</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489" t="s">
        <v>524</v>
      </c>
      <c r="Q9" s="3491"/>
      <c r="R9" s="1502" t="s">
        <v>8</v>
      </c>
      <c r="S9" s="1503">
        <f t="shared" ref="S9:S17" si="0">F9</f>
        <v>0</v>
      </c>
      <c r="T9" s="1502" t="s">
        <v>8</v>
      </c>
      <c r="U9" s="1503">
        <f t="shared" ref="U9:U17" si="1">H9</f>
        <v>0</v>
      </c>
      <c r="V9" s="1502" t="s">
        <v>8</v>
      </c>
      <c r="W9" s="1503">
        <f t="shared" ref="W9:W17" si="2">J9</f>
        <v>0</v>
      </c>
      <c r="X9" s="1504"/>
      <c r="Y9" s="3489" t="s">
        <v>524</v>
      </c>
      <c r="Z9" s="3490"/>
      <c r="AA9" s="1505" t="e">
        <f>D9/F9</f>
        <v>#DIV/0!</v>
      </c>
      <c r="AB9" s="1505" t="e">
        <f>D9/H9</f>
        <v>#DIV/0!</v>
      </c>
      <c r="AC9" s="1505" t="e">
        <f>D9/J9</f>
        <v>#DIV/0!</v>
      </c>
    </row>
    <row r="10" spans="1:29" s="1202"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489" t="s">
        <v>527</v>
      </c>
      <c r="Q10" s="3490"/>
      <c r="R10" s="1502" t="s">
        <v>8</v>
      </c>
      <c r="S10" s="1503">
        <f t="shared" si="0"/>
        <v>0</v>
      </c>
      <c r="T10" s="1502" t="s">
        <v>8</v>
      </c>
      <c r="U10" s="1503">
        <f t="shared" si="1"/>
        <v>0</v>
      </c>
      <c r="V10" s="1502" t="s">
        <v>8</v>
      </c>
      <c r="W10" s="1503">
        <f t="shared" si="2"/>
        <v>0</v>
      </c>
      <c r="X10" s="1504"/>
      <c r="Y10" s="3489" t="s">
        <v>527</v>
      </c>
      <c r="Z10" s="3490"/>
      <c r="AA10" s="1505" t="e">
        <f t="shared" ref="AA10:AA42" si="3">D10/F10</f>
        <v>#DIV/0!</v>
      </c>
      <c r="AB10" s="1505" t="e">
        <f t="shared" ref="AB10:AB42" si="4">D10/H10</f>
        <v>#DIV/0!</v>
      </c>
      <c r="AC10" s="1505" t="e">
        <f t="shared" ref="AC10:AC42" si="5">D10/J10</f>
        <v>#DIV/0!</v>
      </c>
    </row>
    <row r="11" spans="1:29" s="1202" customFormat="1" ht="15">
      <c r="A11" s="2630"/>
      <c r="B11" s="2637" t="s">
        <v>2737</v>
      </c>
      <c r="C11" s="519"/>
      <c r="D11" s="252">
        <v>100</v>
      </c>
      <c r="E11" s="519"/>
      <c r="F11" s="252">
        <f>SUMIF(72:72,E11,73:73)-SUMIF(72:72,C11,73:73)+100</f>
        <v>100</v>
      </c>
      <c r="G11" s="519"/>
      <c r="H11" s="252">
        <f>SUMIF(72:72,G11,73:73)-SUMIF(72:72,C11,73:73)+100</f>
        <v>100</v>
      </c>
      <c r="I11" s="519"/>
      <c r="J11" s="252">
        <f>SUMIF(72:72,I11,73:73)-SUMIF(72:72,C11,73:73)+100</f>
        <v>100</v>
      </c>
      <c r="K11" s="517"/>
      <c r="L11" s="2016"/>
      <c r="M11" s="2017"/>
      <c r="N11" s="2017"/>
      <c r="O11" s="2018"/>
      <c r="P11" s="3458" t="s">
        <v>529</v>
      </c>
      <c r="Q11" s="1133" t="str">
        <f t="shared" ref="Q11:Q17" si="6">B11</f>
        <v>用途</v>
      </c>
      <c r="R11" s="1502" t="s">
        <v>8</v>
      </c>
      <c r="S11" s="1503">
        <f t="shared" si="0"/>
        <v>100</v>
      </c>
      <c r="T11" s="1502" t="s">
        <v>8</v>
      </c>
      <c r="U11" s="1503">
        <f t="shared" si="1"/>
        <v>100</v>
      </c>
      <c r="V11" s="1502" t="s">
        <v>8</v>
      </c>
      <c r="W11" s="1503">
        <f t="shared" si="2"/>
        <v>100</v>
      </c>
      <c r="X11" s="1504"/>
      <c r="Y11" s="3404" t="s">
        <v>530</v>
      </c>
      <c r="Z11" s="1132" t="str">
        <f t="shared" ref="Z11:Z17" si="7">Q11</f>
        <v>用途</v>
      </c>
      <c r="AA11" s="1505">
        <f t="shared" si="3"/>
        <v>1</v>
      </c>
      <c r="AB11" s="1505">
        <f t="shared" si="4"/>
        <v>1</v>
      </c>
      <c r="AC11" s="1505">
        <f t="shared" si="5"/>
        <v>1</v>
      </c>
    </row>
    <row r="12" spans="1:29" s="1291" customFormat="1" ht="27">
      <c r="A12" s="2631"/>
      <c r="B12" s="2636" t="s">
        <v>2738</v>
      </c>
      <c r="C12" s="521"/>
      <c r="D12" s="253">
        <v>100</v>
      </c>
      <c r="E12" s="521"/>
      <c r="F12" s="253" t="e">
        <f>ROUND(100/'数据-取费表'!G16,0)</f>
        <v>#DIV/0!</v>
      </c>
      <c r="G12" s="521"/>
      <c r="H12" s="253" t="e">
        <f>ROUND(100/'数据-取费表'!G16,0)</f>
        <v>#DIV/0!</v>
      </c>
      <c r="I12" s="521"/>
      <c r="J12" s="253" t="e">
        <f>ROUND(100/'数据-取费表'!G16,0)</f>
        <v>#DIV/0!</v>
      </c>
      <c r="K12" s="524"/>
      <c r="L12" s="2019"/>
      <c r="M12" s="2058"/>
      <c r="N12" s="2058"/>
      <c r="O12" s="2020"/>
      <c r="P12" s="3458"/>
      <c r="Q12" s="1133" t="str">
        <f t="shared" si="6"/>
        <v>土地使用年限（年）</v>
      </c>
      <c r="R12" s="1502" t="s">
        <v>8</v>
      </c>
      <c r="S12" s="1503" t="e">
        <f t="shared" si="0"/>
        <v>#DIV/0!</v>
      </c>
      <c r="T12" s="1502" t="s">
        <v>8</v>
      </c>
      <c r="U12" s="1503" t="e">
        <f t="shared" si="1"/>
        <v>#DIV/0!</v>
      </c>
      <c r="V12" s="1502" t="s">
        <v>8</v>
      </c>
      <c r="W12" s="1503" t="e">
        <f t="shared" si="2"/>
        <v>#DIV/0!</v>
      </c>
      <c r="X12" s="1504"/>
      <c r="Y12" s="3404"/>
      <c r="Z12" s="1132" t="str">
        <f t="shared" si="7"/>
        <v>土地使用年限（年）</v>
      </c>
      <c r="AA12" s="1505" t="e">
        <f t="shared" si="3"/>
        <v>#DIV/0!</v>
      </c>
      <c r="AB12" s="1505" t="e">
        <f t="shared" si="4"/>
        <v>#DIV/0!</v>
      </c>
      <c r="AC12" s="1505" t="e">
        <f t="shared" si="5"/>
        <v>#DIV/0!</v>
      </c>
    </row>
    <row r="13" spans="1:29" ht="15">
      <c r="A13" s="2632"/>
      <c r="B13" s="2636" t="s">
        <v>2739</v>
      </c>
      <c r="C13" s="526"/>
      <c r="D13" s="253">
        <v>100</v>
      </c>
      <c r="E13" s="526"/>
      <c r="F13" s="253" t="e">
        <f>LOOKUP(E13,77:77,78:78)-LOOKUP(C13,77:77,78:78)+100</f>
        <v>#N/A</v>
      </c>
      <c r="G13" s="527"/>
      <c r="H13" s="253" t="e">
        <f>LOOKUP(G13,77:77,78:78)-LOOKUP(C13,77:77,78:78)+100</f>
        <v>#N/A</v>
      </c>
      <c r="I13" s="526"/>
      <c r="J13" s="253" t="e">
        <f>LOOKUP(I13,77:77,78:78)-LOOKUP(C13,77:77,78:78)+100</f>
        <v>#N/A</v>
      </c>
      <c r="K13" s="528"/>
      <c r="L13" s="2021"/>
      <c r="M13" s="2015"/>
      <c r="N13" s="2015"/>
      <c r="O13" s="2022"/>
      <c r="P13" s="3458"/>
      <c r="Q13" s="1133" t="str">
        <f t="shared" si="6"/>
        <v>容积率</v>
      </c>
      <c r="R13" s="1502" t="s">
        <v>8</v>
      </c>
      <c r="S13" s="1503" t="e">
        <f t="shared" si="0"/>
        <v>#N/A</v>
      </c>
      <c r="T13" s="1502" t="s">
        <v>8</v>
      </c>
      <c r="U13" s="1503" t="e">
        <f t="shared" si="1"/>
        <v>#N/A</v>
      </c>
      <c r="V13" s="1502" t="s">
        <v>8</v>
      </c>
      <c r="W13" s="1503" t="e">
        <f t="shared" si="2"/>
        <v>#N/A</v>
      </c>
      <c r="X13" s="1504"/>
      <c r="Y13" s="3404"/>
      <c r="Z13" s="1132" t="str">
        <f t="shared" si="7"/>
        <v>容积率</v>
      </c>
      <c r="AA13" s="1505" t="e">
        <f t="shared" si="3"/>
        <v>#N/A</v>
      </c>
      <c r="AB13" s="1505" t="e">
        <f t="shared" si="4"/>
        <v>#N/A</v>
      </c>
      <c r="AC13" s="1505" t="e">
        <f t="shared" si="5"/>
        <v>#N/A</v>
      </c>
    </row>
    <row r="14" spans="1:29" s="1202" customFormat="1" ht="15">
      <c r="A14" s="2633"/>
      <c r="B14" s="2639">
        <v>111</v>
      </c>
      <c r="C14" s="521"/>
      <c r="D14" s="531">
        <v>100</v>
      </c>
      <c r="E14" s="534"/>
      <c r="F14" s="253">
        <f>SUMIF(79:79,E14,80:80)-SUMIF(79:79,C14,80:80)+100</f>
        <v>100</v>
      </c>
      <c r="G14" s="535"/>
      <c r="H14" s="253">
        <f>SUMIF(79:79,G14,80:80)-SUMIF(79:79,C14,80:80)+100</f>
        <v>100</v>
      </c>
      <c r="I14" s="534"/>
      <c r="J14" s="253">
        <f>SUMIF(79:79,I14,80:80)-SUMIF(79:79,C14,80:80)+100</f>
        <v>100</v>
      </c>
      <c r="K14" s="524"/>
      <c r="L14" s="2016"/>
      <c r="M14" s="2017"/>
      <c r="N14" s="2017"/>
      <c r="O14" s="2018"/>
      <c r="P14" s="3458"/>
      <c r="Q14" s="1133">
        <f t="shared" si="6"/>
        <v>111</v>
      </c>
      <c r="R14" s="1502" t="s">
        <v>8</v>
      </c>
      <c r="S14" s="1503">
        <f t="shared" si="0"/>
        <v>100</v>
      </c>
      <c r="T14" s="1502" t="s">
        <v>8</v>
      </c>
      <c r="U14" s="1503">
        <f t="shared" si="1"/>
        <v>100</v>
      </c>
      <c r="V14" s="1502" t="s">
        <v>8</v>
      </c>
      <c r="W14" s="1503">
        <f t="shared" si="2"/>
        <v>100</v>
      </c>
      <c r="X14" s="1504"/>
      <c r="Y14" s="3404"/>
      <c r="Z14" s="1132">
        <f t="shared" si="7"/>
        <v>111</v>
      </c>
      <c r="AA14" s="1505">
        <f>D14/F14</f>
        <v>1</v>
      </c>
      <c r="AB14" s="1505">
        <f>D14/H14</f>
        <v>1</v>
      </c>
      <c r="AC14" s="1505">
        <f>D14/J14</f>
        <v>1</v>
      </c>
    </row>
    <row r="15" spans="1:29" ht="15">
      <c r="A15" s="2633"/>
      <c r="B15" s="2639">
        <v>111</v>
      </c>
      <c r="C15" s="532"/>
      <c r="D15" s="533">
        <v>100</v>
      </c>
      <c r="E15" s="534"/>
      <c r="F15" s="253">
        <f>SUMIF(81:81,E15,82:82)-SUMIF(81:81,C15,82:82)+100</f>
        <v>100</v>
      </c>
      <c r="G15" s="535"/>
      <c r="H15" s="533">
        <f>SUMIF(81:81,G15,82:82)-SUMIF(81:81,C15,82:82)+100</f>
        <v>100</v>
      </c>
      <c r="I15" s="534"/>
      <c r="J15" s="533">
        <f>SUMIF(81:81,I15,82:82)-SUMIF(81:81,C15,82:82)+100</f>
        <v>100</v>
      </c>
      <c r="K15" s="524"/>
      <c r="L15" s="2023"/>
      <c r="M15" s="2015"/>
      <c r="N15" s="2015"/>
      <c r="O15" s="2022"/>
      <c r="P15" s="3458"/>
      <c r="Q15" s="1133">
        <f t="shared" si="6"/>
        <v>111</v>
      </c>
      <c r="R15" s="1502" t="s">
        <v>8</v>
      </c>
      <c r="S15" s="1503">
        <f t="shared" si="0"/>
        <v>100</v>
      </c>
      <c r="T15" s="1502" t="s">
        <v>8</v>
      </c>
      <c r="U15" s="1503">
        <f t="shared" si="1"/>
        <v>100</v>
      </c>
      <c r="V15" s="1502" t="s">
        <v>8</v>
      </c>
      <c r="W15" s="1503">
        <f t="shared" si="2"/>
        <v>100</v>
      </c>
      <c r="X15" s="1504"/>
      <c r="Y15" s="3404"/>
      <c r="Z15" s="1132">
        <f t="shared" si="7"/>
        <v>111</v>
      </c>
      <c r="AA15" s="1505">
        <f t="shared" si="3"/>
        <v>1</v>
      </c>
      <c r="AB15" s="1505">
        <f t="shared" si="4"/>
        <v>1</v>
      </c>
      <c r="AC15" s="1505">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58"/>
      <c r="Q16" s="1133">
        <f t="shared" si="6"/>
        <v>111</v>
      </c>
      <c r="R16" s="1502" t="s">
        <v>8</v>
      </c>
      <c r="S16" s="1503">
        <f t="shared" si="0"/>
        <v>100</v>
      </c>
      <c r="T16" s="1502" t="s">
        <v>8</v>
      </c>
      <c r="U16" s="1503">
        <f t="shared" si="1"/>
        <v>100</v>
      </c>
      <c r="V16" s="1502" t="s">
        <v>8</v>
      </c>
      <c r="W16" s="1503">
        <f t="shared" si="2"/>
        <v>100</v>
      </c>
      <c r="X16" s="1504"/>
      <c r="Y16" s="3404"/>
      <c r="Z16" s="1132">
        <f t="shared" si="7"/>
        <v>111</v>
      </c>
      <c r="AA16" s="1505">
        <f t="shared" si="3"/>
        <v>1</v>
      </c>
      <c r="AB16" s="1505">
        <f t="shared" si="4"/>
        <v>1</v>
      </c>
      <c r="AC16" s="1505">
        <f t="shared" si="5"/>
        <v>1</v>
      </c>
    </row>
    <row r="17" spans="1:29" ht="57">
      <c r="A17" s="2626" t="s">
        <v>2735</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492" t="s">
        <v>534</v>
      </c>
      <c r="Q17" s="1506" t="str">
        <f t="shared" si="6"/>
        <v>产业集聚程度</v>
      </c>
      <c r="R17" s="1507" t="s">
        <v>8</v>
      </c>
      <c r="S17" s="1508">
        <f t="shared" si="0"/>
        <v>100</v>
      </c>
      <c r="T17" s="1507" t="s">
        <v>8</v>
      </c>
      <c r="U17" s="1508">
        <f t="shared" si="1"/>
        <v>100</v>
      </c>
      <c r="V17" s="1507" t="s">
        <v>8</v>
      </c>
      <c r="W17" s="1508">
        <f t="shared" si="2"/>
        <v>100</v>
      </c>
      <c r="X17" s="1501"/>
      <c r="Y17" s="3492"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3"/>
      <c r="M18" s="2015"/>
      <c r="N18" s="2015"/>
      <c r="O18" s="2022"/>
      <c r="P18" s="3493"/>
      <c r="Q18" s="1506"/>
      <c r="R18" s="1507"/>
      <c r="S18" s="1508"/>
      <c r="T18" s="1507"/>
      <c r="U18" s="1508"/>
      <c r="V18" s="1507"/>
      <c r="W18" s="1508"/>
      <c r="X18" s="1501"/>
      <c r="Y18" s="3493"/>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493"/>
      <c r="Q19" s="1506" t="str">
        <f>B19</f>
        <v>交通便捷度</v>
      </c>
      <c r="R19" s="1507" t="s">
        <v>8</v>
      </c>
      <c r="S19" s="1508">
        <f>F19</f>
        <v>100</v>
      </c>
      <c r="T19" s="1507" t="s">
        <v>8</v>
      </c>
      <c r="U19" s="1508">
        <f>H19</f>
        <v>100</v>
      </c>
      <c r="V19" s="1507" t="s">
        <v>8</v>
      </c>
      <c r="W19" s="1508">
        <f>J19</f>
        <v>100</v>
      </c>
      <c r="X19" s="1501"/>
      <c r="Y19" s="3493"/>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3"/>
      <c r="M20" s="2015"/>
      <c r="N20" s="2015"/>
      <c r="O20" s="2022"/>
      <c r="P20" s="3493"/>
      <c r="Q20" s="1506"/>
      <c r="R20" s="1507"/>
      <c r="S20" s="1508"/>
      <c r="T20" s="1507"/>
      <c r="U20" s="1508"/>
      <c r="V20" s="1507"/>
      <c r="W20" s="1508"/>
      <c r="X20" s="1501"/>
      <c r="Y20" s="3493"/>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493"/>
      <c r="Q21" s="1506" t="str">
        <f t="shared" ref="Q21:Q35" si="8">B21</f>
        <v>区域土地利用方向</v>
      </c>
      <c r="R21" s="1507" t="s">
        <v>8</v>
      </c>
      <c r="S21" s="1508">
        <f>F21</f>
        <v>100</v>
      </c>
      <c r="T21" s="1507" t="s">
        <v>8</v>
      </c>
      <c r="U21" s="1508">
        <f>H21</f>
        <v>100</v>
      </c>
      <c r="V21" s="1507" t="s">
        <v>8</v>
      </c>
      <c r="W21" s="1508">
        <f>J21</f>
        <v>100</v>
      </c>
      <c r="X21" s="1501"/>
      <c r="Y21" s="3493"/>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3"/>
      <c r="M22" s="2015"/>
      <c r="N22" s="2015"/>
      <c r="O22" s="2022"/>
      <c r="P22" s="3493"/>
      <c r="Q22" s="1506"/>
      <c r="R22" s="1507"/>
      <c r="S22" s="1508"/>
      <c r="T22" s="1507"/>
      <c r="U22" s="1508"/>
      <c r="V22" s="1507"/>
      <c r="W22" s="1508"/>
      <c r="X22" s="1501"/>
      <c r="Y22" s="3493"/>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493"/>
      <c r="Q23" s="1506" t="str">
        <f t="shared" si="8"/>
        <v>环境状况</v>
      </c>
      <c r="R23" s="1507" t="s">
        <v>8</v>
      </c>
      <c r="S23" s="1508">
        <f>F23</f>
        <v>100</v>
      </c>
      <c r="T23" s="1507" t="s">
        <v>8</v>
      </c>
      <c r="U23" s="1508">
        <f>H23</f>
        <v>100</v>
      </c>
      <c r="V23" s="1507" t="s">
        <v>8</v>
      </c>
      <c r="W23" s="1508">
        <f>J23</f>
        <v>100</v>
      </c>
      <c r="X23" s="1501"/>
      <c r="Y23" s="3493"/>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3"/>
      <c r="M24" s="2015"/>
      <c r="N24" s="2015"/>
      <c r="O24" s="2022"/>
      <c r="P24" s="3493"/>
      <c r="Q24" s="1506"/>
      <c r="R24" s="1507"/>
      <c r="S24" s="1508"/>
      <c r="T24" s="1507"/>
      <c r="U24" s="1508"/>
      <c r="V24" s="1507"/>
      <c r="W24" s="1508"/>
      <c r="X24" s="1501"/>
      <c r="Y24" s="3493"/>
      <c r="Z24" s="1509"/>
      <c r="AA24" s="1510">
        <v>1</v>
      </c>
      <c r="AB24" s="1510">
        <v>1</v>
      </c>
      <c r="AC24" s="1510">
        <v>1</v>
      </c>
    </row>
    <row r="25" spans="1:29" s="1202" customFormat="1" ht="42.75">
      <c r="A25" s="570"/>
      <c r="B25" s="2436" t="s">
        <v>2530</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493"/>
      <c r="Q25" s="1133" t="str">
        <f t="shared" si="8"/>
        <v>公共配套设施</v>
      </c>
      <c r="R25" s="1502" t="s">
        <v>8</v>
      </c>
      <c r="S25" s="1503">
        <f>F25</f>
        <v>100</v>
      </c>
      <c r="T25" s="1502" t="s">
        <v>8</v>
      </c>
      <c r="U25" s="1503">
        <f>H25</f>
        <v>100</v>
      </c>
      <c r="V25" s="1502" t="s">
        <v>8</v>
      </c>
      <c r="W25" s="1503">
        <f>J25</f>
        <v>100</v>
      </c>
      <c r="X25" s="1504"/>
      <c r="Y25" s="3493"/>
      <c r="Z25" s="1132" t="str">
        <f>Q25</f>
        <v>公共配套设施</v>
      </c>
      <c r="AA25" s="1510">
        <f>D25/F25</f>
        <v>1</v>
      </c>
      <c r="AB25" s="1510">
        <f>D25/H25</f>
        <v>1</v>
      </c>
      <c r="AC25" s="1510">
        <f>D25/J25</f>
        <v>1</v>
      </c>
    </row>
    <row r="26" spans="1:29" s="1202" customFormat="1" ht="15">
      <c r="A26" s="570"/>
      <c r="B26" s="588"/>
      <c r="C26" s="2435"/>
      <c r="D26" s="548"/>
      <c r="E26" s="547"/>
      <c r="F26" s="548"/>
      <c r="G26" s="547"/>
      <c r="H26" s="548"/>
      <c r="I26" s="569"/>
      <c r="J26" s="548"/>
      <c r="K26" s="524"/>
      <c r="L26" s="2016"/>
      <c r="M26" s="2017"/>
      <c r="N26" s="2017"/>
      <c r="O26" s="2018"/>
      <c r="P26" s="3493"/>
      <c r="Q26" s="1133"/>
      <c r="R26" s="1502"/>
      <c r="S26" s="1503"/>
      <c r="T26" s="1502"/>
      <c r="U26" s="1503"/>
      <c r="V26" s="1502"/>
      <c r="W26" s="1503"/>
      <c r="X26" s="1504"/>
      <c r="Y26" s="3493"/>
      <c r="Z26" s="1132"/>
      <c r="AA26" s="1505">
        <v>1</v>
      </c>
      <c r="AB26" s="1505">
        <v>1</v>
      </c>
      <c r="AC26" s="1505">
        <v>1</v>
      </c>
    </row>
    <row r="27" spans="1:29" s="1202" customFormat="1" ht="28.5">
      <c r="A27" s="570"/>
      <c r="B27" s="2436" t="s">
        <v>2531</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493"/>
      <c r="Q27" s="2427" t="str">
        <f t="shared" ref="Q27" si="9">B27</f>
        <v>基础设施水平</v>
      </c>
      <c r="R27" s="1502" t="s">
        <v>8</v>
      </c>
      <c r="S27" s="1503">
        <f>F27</f>
        <v>100</v>
      </c>
      <c r="T27" s="1502" t="s">
        <v>8</v>
      </c>
      <c r="U27" s="1503">
        <f>H27</f>
        <v>100</v>
      </c>
      <c r="V27" s="1502" t="s">
        <v>8</v>
      </c>
      <c r="W27" s="1503">
        <f>J27</f>
        <v>100</v>
      </c>
      <c r="X27" s="1504"/>
      <c r="Y27" s="3493"/>
      <c r="Z27" s="2426" t="str">
        <f>Q27</f>
        <v>基础设施水平</v>
      </c>
      <c r="AA27" s="1510">
        <f>D27/F27</f>
        <v>1</v>
      </c>
      <c r="AB27" s="1510">
        <f>D27/H27</f>
        <v>1</v>
      </c>
      <c r="AC27" s="1510">
        <f>D27/J27</f>
        <v>1</v>
      </c>
    </row>
    <row r="28" spans="1:29" s="1202" customFormat="1" ht="15">
      <c r="A28" s="570"/>
      <c r="B28" s="588"/>
      <c r="C28" s="2435"/>
      <c r="D28" s="548"/>
      <c r="E28" s="572"/>
      <c r="F28" s="548"/>
      <c r="G28" s="572"/>
      <c r="H28" s="548"/>
      <c r="I28" s="572"/>
      <c r="J28" s="548"/>
      <c r="K28" s="524"/>
      <c r="L28" s="2016"/>
      <c r="M28" s="2017"/>
      <c r="N28" s="2017"/>
      <c r="O28" s="2018"/>
      <c r="P28" s="3493"/>
      <c r="Q28" s="2427"/>
      <c r="R28" s="1502"/>
      <c r="S28" s="1503"/>
      <c r="T28" s="1502"/>
      <c r="U28" s="1503"/>
      <c r="V28" s="1502"/>
      <c r="W28" s="1503"/>
      <c r="X28" s="1504"/>
      <c r="Y28" s="3493"/>
      <c r="Z28" s="2426"/>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493"/>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3"/>
      <c r="Z29" s="1509" t="str">
        <f t="shared" ref="Z29:Z42" si="13">Q29</f>
        <v>临街状况</v>
      </c>
      <c r="AA29" s="1510">
        <f t="shared" si="3"/>
        <v>1</v>
      </c>
      <c r="AB29" s="1510">
        <f t="shared" si="4"/>
        <v>1</v>
      </c>
      <c r="AC29" s="1510">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493"/>
      <c r="Q30" s="1506" t="str">
        <f t="shared" si="8"/>
        <v>毗邻道路的类型与等级</v>
      </c>
      <c r="R30" s="1507" t="s">
        <v>8</v>
      </c>
      <c r="S30" s="1508">
        <f t="shared" si="10"/>
        <v>100</v>
      </c>
      <c r="T30" s="1507" t="s">
        <v>8</v>
      </c>
      <c r="U30" s="1508">
        <f t="shared" si="11"/>
        <v>100</v>
      </c>
      <c r="V30" s="1507" t="s">
        <v>8</v>
      </c>
      <c r="W30" s="1508">
        <f t="shared" si="12"/>
        <v>100</v>
      </c>
      <c r="X30" s="1501"/>
      <c r="Y30" s="3493"/>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3"/>
      <c r="M31" s="2015"/>
      <c r="N31" s="2015"/>
      <c r="O31" s="2022"/>
      <c r="P31" s="3493"/>
      <c r="Q31" s="1506"/>
      <c r="R31" s="1507"/>
      <c r="S31" s="1508"/>
      <c r="T31" s="1507"/>
      <c r="U31" s="1508"/>
      <c r="V31" s="1507"/>
      <c r="W31" s="1508"/>
      <c r="X31" s="1501"/>
      <c r="Y31" s="3493"/>
      <c r="Z31" s="1509"/>
      <c r="AA31" s="1510">
        <v>1</v>
      </c>
      <c r="AB31" s="1510">
        <v>1</v>
      </c>
      <c r="AC31" s="1510">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493"/>
      <c r="Q32" s="1506" t="str">
        <f t="shared" si="8"/>
        <v>土地级别</v>
      </c>
      <c r="R32" s="1507" t="s">
        <v>8</v>
      </c>
      <c r="S32" s="1508">
        <f t="shared" si="10"/>
        <v>100</v>
      </c>
      <c r="T32" s="1507" t="s">
        <v>8</v>
      </c>
      <c r="U32" s="1508">
        <f t="shared" si="11"/>
        <v>100</v>
      </c>
      <c r="V32" s="1507" t="s">
        <v>8</v>
      </c>
      <c r="W32" s="1508">
        <f t="shared" si="12"/>
        <v>100</v>
      </c>
      <c r="X32" s="1501"/>
      <c r="Y32" s="3493"/>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493"/>
      <c r="Q33" s="1506">
        <f t="shared" si="8"/>
        <v>111</v>
      </c>
      <c r="R33" s="1507" t="s">
        <v>8</v>
      </c>
      <c r="S33" s="1508">
        <f t="shared" si="10"/>
        <v>100</v>
      </c>
      <c r="T33" s="1507" t="s">
        <v>8</v>
      </c>
      <c r="U33" s="1508">
        <f t="shared" si="11"/>
        <v>100</v>
      </c>
      <c r="V33" s="1507" t="s">
        <v>8</v>
      </c>
      <c r="W33" s="1508">
        <f t="shared" si="12"/>
        <v>100</v>
      </c>
      <c r="X33" s="1501"/>
      <c r="Y33" s="3493"/>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494" t="s">
        <v>544</v>
      </c>
      <c r="Q34" s="1506">
        <f t="shared" si="8"/>
        <v>111</v>
      </c>
      <c r="R34" s="1507" t="s">
        <v>8</v>
      </c>
      <c r="S34" s="1508">
        <f t="shared" si="10"/>
        <v>100</v>
      </c>
      <c r="T34" s="1507" t="s">
        <v>8</v>
      </c>
      <c r="U34" s="1508">
        <f t="shared" si="11"/>
        <v>100</v>
      </c>
      <c r="V34" s="1507" t="s">
        <v>8</v>
      </c>
      <c r="W34" s="1508">
        <f t="shared" si="12"/>
        <v>100</v>
      </c>
      <c r="X34" s="1501"/>
      <c r="Y34" s="3495" t="s">
        <v>544</v>
      </c>
      <c r="Z34" s="1509">
        <f t="shared" si="13"/>
        <v>111</v>
      </c>
      <c r="AA34" s="1510">
        <f t="shared" si="3"/>
        <v>1</v>
      </c>
      <c r="AB34" s="1510">
        <f t="shared" si="4"/>
        <v>1</v>
      </c>
      <c r="AC34" s="1510">
        <f t="shared" si="5"/>
        <v>1</v>
      </c>
    </row>
    <row r="35" spans="1:29" s="1292" customFormat="1" ht="15.75" thickBot="1">
      <c r="A35" s="582"/>
      <c r="B35" s="2437">
        <v>111</v>
      </c>
      <c r="C35" s="586"/>
      <c r="D35" s="254">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495"/>
      <c r="Q35" s="1506">
        <f t="shared" si="8"/>
        <v>111</v>
      </c>
      <c r="R35" s="1511" t="s">
        <v>8</v>
      </c>
      <c r="S35" s="1512">
        <f t="shared" si="10"/>
        <v>100</v>
      </c>
      <c r="T35" s="1511" t="s">
        <v>8</v>
      </c>
      <c r="U35" s="1512">
        <f t="shared" si="11"/>
        <v>100</v>
      </c>
      <c r="V35" s="1511" t="s">
        <v>8</v>
      </c>
      <c r="W35" s="1512">
        <f t="shared" si="12"/>
        <v>100</v>
      </c>
      <c r="X35" s="1513"/>
      <c r="Y35" s="3495"/>
      <c r="Z35" s="1514">
        <f t="shared" si="13"/>
        <v>111</v>
      </c>
      <c r="AA35" s="1510">
        <f t="shared" si="3"/>
        <v>1</v>
      </c>
      <c r="AB35" s="1510">
        <f t="shared" si="4"/>
        <v>1</v>
      </c>
      <c r="AC35" s="1510">
        <f t="shared" si="5"/>
        <v>1</v>
      </c>
    </row>
    <row r="36" spans="1:29" ht="15">
      <c r="A36" s="2623" t="s">
        <v>2736</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495"/>
      <c r="Q36" s="1506" t="str">
        <f>B36</f>
        <v>宗地面积</v>
      </c>
      <c r="R36" s="1507" t="s">
        <v>8</v>
      </c>
      <c r="S36" s="1508" t="e">
        <f t="shared" si="10"/>
        <v>#N/A</v>
      </c>
      <c r="T36" s="1507" t="s">
        <v>8</v>
      </c>
      <c r="U36" s="1508" t="e">
        <f t="shared" si="11"/>
        <v>#N/A</v>
      </c>
      <c r="V36" s="1507" t="s">
        <v>8</v>
      </c>
      <c r="W36" s="1508" t="e">
        <f t="shared" si="12"/>
        <v>#N/A</v>
      </c>
      <c r="X36" s="1501"/>
      <c r="Y36" s="3495"/>
      <c r="Z36" s="1509" t="str">
        <f t="shared" si="13"/>
        <v>宗地面积</v>
      </c>
      <c r="AA36" s="1510" t="e">
        <f t="shared" si="3"/>
        <v>#N/A</v>
      </c>
      <c r="AB36" s="1510" t="e">
        <f t="shared" si="4"/>
        <v>#N/A</v>
      </c>
      <c r="AC36" s="1510"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495"/>
      <c r="Q37" s="1506" t="str">
        <f t="shared" ref="Q37:Q42" si="14">B37</f>
        <v>宗地形状</v>
      </c>
      <c r="R37" s="1507" t="s">
        <v>8</v>
      </c>
      <c r="S37" s="1508">
        <f t="shared" si="10"/>
        <v>100</v>
      </c>
      <c r="T37" s="1507" t="s">
        <v>8</v>
      </c>
      <c r="U37" s="1508">
        <f t="shared" si="11"/>
        <v>100</v>
      </c>
      <c r="V37" s="1507" t="s">
        <v>8</v>
      </c>
      <c r="W37" s="1508">
        <f t="shared" si="12"/>
        <v>100</v>
      </c>
      <c r="X37" s="1501"/>
      <c r="Y37" s="3495"/>
      <c r="Z37" s="1509" t="str">
        <f t="shared" si="13"/>
        <v>宗地形状</v>
      </c>
      <c r="AA37" s="1510">
        <f t="shared" si="3"/>
        <v>1</v>
      </c>
      <c r="AB37" s="1510">
        <f t="shared" si="4"/>
        <v>1</v>
      </c>
      <c r="AC37" s="1510">
        <f t="shared" si="5"/>
        <v>1</v>
      </c>
    </row>
    <row r="38" spans="1:29" s="1202" customFormat="1" ht="15">
      <c r="A38" s="593"/>
      <c r="B38" s="1808" t="s">
        <v>2409</v>
      </c>
      <c r="C38" s="594"/>
      <c r="D38" s="253">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495"/>
      <c r="Q38" s="1506" t="str">
        <f t="shared" si="14"/>
        <v>宗地开发程度</v>
      </c>
      <c r="R38" s="1502" t="s">
        <v>8</v>
      </c>
      <c r="S38" s="1503">
        <f t="shared" si="10"/>
        <v>100</v>
      </c>
      <c r="T38" s="1502" t="s">
        <v>8</v>
      </c>
      <c r="U38" s="1503">
        <f t="shared" si="11"/>
        <v>100</v>
      </c>
      <c r="V38" s="1502" t="s">
        <v>8</v>
      </c>
      <c r="W38" s="1503">
        <f t="shared" si="12"/>
        <v>100</v>
      </c>
      <c r="X38" s="1504"/>
      <c r="Y38" s="3495"/>
      <c r="Z38" s="1132" t="str">
        <f t="shared" si="13"/>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5" t="s">
        <v>595</v>
      </c>
      <c r="Q39" s="1506" t="str">
        <f t="shared" si="14"/>
        <v>工程地质条件</v>
      </c>
      <c r="R39" s="1507" t="s">
        <v>8</v>
      </c>
      <c r="S39" s="1508">
        <f t="shared" si="10"/>
        <v>100</v>
      </c>
      <c r="T39" s="1507" t="s">
        <v>8</v>
      </c>
      <c r="U39" s="1508">
        <f t="shared" si="11"/>
        <v>100</v>
      </c>
      <c r="V39" s="1507" t="s">
        <v>8</v>
      </c>
      <c r="W39" s="1508">
        <f t="shared" si="12"/>
        <v>100</v>
      </c>
      <c r="X39" s="1501"/>
      <c r="Y39" s="3495" t="s">
        <v>595</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495"/>
      <c r="Q40" s="1506">
        <f t="shared" si="14"/>
        <v>111</v>
      </c>
      <c r="R40" s="1507" t="s">
        <v>8</v>
      </c>
      <c r="S40" s="1508">
        <f t="shared" si="10"/>
        <v>100</v>
      </c>
      <c r="T40" s="1507" t="s">
        <v>8</v>
      </c>
      <c r="U40" s="1508">
        <f t="shared" si="11"/>
        <v>100</v>
      </c>
      <c r="V40" s="1507" t="s">
        <v>8</v>
      </c>
      <c r="W40" s="1508">
        <f t="shared" si="12"/>
        <v>100</v>
      </c>
      <c r="X40" s="1501"/>
      <c r="Y40" s="3495"/>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495"/>
      <c r="Q41" s="1506">
        <f t="shared" si="14"/>
        <v>111</v>
      </c>
      <c r="R41" s="1507" t="s">
        <v>8</v>
      </c>
      <c r="S41" s="1508">
        <f t="shared" si="10"/>
        <v>100</v>
      </c>
      <c r="T41" s="1507" t="s">
        <v>8</v>
      </c>
      <c r="U41" s="1508">
        <f t="shared" si="11"/>
        <v>100</v>
      </c>
      <c r="V41" s="1507" t="s">
        <v>8</v>
      </c>
      <c r="W41" s="1508">
        <f t="shared" si="12"/>
        <v>100</v>
      </c>
      <c r="X41" s="1501"/>
      <c r="Y41" s="3495"/>
      <c r="Z41" s="1509">
        <f t="shared" si="13"/>
        <v>111</v>
      </c>
      <c r="AA41" s="1510">
        <f t="shared" si="3"/>
        <v>1</v>
      </c>
      <c r="AB41" s="1510">
        <f t="shared" si="4"/>
        <v>1</v>
      </c>
      <c r="AC41" s="1510">
        <f t="shared" si="5"/>
        <v>1</v>
      </c>
    </row>
    <row r="42" spans="1:29" s="1292" customFormat="1" ht="15.75" thickBot="1">
      <c r="A42" s="596"/>
      <c r="B42" s="595">
        <v>111</v>
      </c>
      <c r="C42" s="597"/>
      <c r="D42" s="254">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495"/>
      <c r="Q42" s="1506">
        <f t="shared" si="14"/>
        <v>111</v>
      </c>
      <c r="R42" s="1511" t="s">
        <v>8</v>
      </c>
      <c r="S42" s="1512">
        <f t="shared" si="10"/>
        <v>100</v>
      </c>
      <c r="T42" s="1511" t="s">
        <v>8</v>
      </c>
      <c r="U42" s="1512">
        <f t="shared" si="11"/>
        <v>100</v>
      </c>
      <c r="V42" s="1511" t="s">
        <v>8</v>
      </c>
      <c r="W42" s="1512">
        <f t="shared" si="12"/>
        <v>100</v>
      </c>
      <c r="X42" s="1513"/>
      <c r="Y42" s="3495"/>
      <c r="Z42" s="1514">
        <f t="shared" si="13"/>
        <v>111</v>
      </c>
      <c r="AA42" s="1510">
        <f t="shared" si="3"/>
        <v>1</v>
      </c>
      <c r="AB42" s="1510">
        <f t="shared" si="4"/>
        <v>1</v>
      </c>
      <c r="AC42" s="1510">
        <f t="shared" si="5"/>
        <v>1</v>
      </c>
    </row>
    <row r="43" spans="1:29" ht="15">
      <c r="A43" s="600" t="s">
        <v>550</v>
      </c>
      <c r="B43" s="601" t="s">
        <v>2903</v>
      </c>
      <c r="C43" s="602" t="s">
        <v>1</v>
      </c>
      <c r="D43" s="603"/>
      <c r="E43" s="604"/>
      <c r="F43" s="605"/>
      <c r="G43" s="606"/>
      <c r="H43" s="607"/>
      <c r="I43" s="604"/>
      <c r="J43" s="607"/>
      <c r="K43" s="1293"/>
      <c r="L43" s="2025"/>
      <c r="M43" s="2015"/>
      <c r="N43" s="2015"/>
      <c r="O43" s="2026"/>
      <c r="P43" s="3458" t="str">
        <f>A43</f>
        <v>成交单价</v>
      </c>
      <c r="Q43" s="3458"/>
      <c r="R43" s="3459">
        <f>E43</f>
        <v>0</v>
      </c>
      <c r="S43" s="3459"/>
      <c r="T43" s="3459">
        <f>G43</f>
        <v>0</v>
      </c>
      <c r="U43" s="3459"/>
      <c r="V43" s="3459">
        <f>I43</f>
        <v>0</v>
      </c>
      <c r="W43" s="3459"/>
      <c r="X43" s="1496"/>
      <c r="Y43" s="1515"/>
      <c r="Z43" s="1496"/>
      <c r="AA43" s="1496"/>
      <c r="AB43" s="1496"/>
      <c r="AC43" s="1496"/>
    </row>
    <row r="44" spans="1:29" ht="15.75" thickBot="1">
      <c r="A44" s="608" t="s">
        <v>2674</v>
      </c>
      <c r="B44" s="609"/>
      <c r="C44" s="610" t="e">
        <f>R45</f>
        <v>#DIV/0!</v>
      </c>
      <c r="D44" s="3013" t="s">
        <v>2969</v>
      </c>
      <c r="E44" s="610" t="e">
        <f>R44</f>
        <v>#DIV/0!</v>
      </c>
      <c r="F44" s="3014"/>
      <c r="G44" s="611" t="e">
        <f>T44</f>
        <v>#DIV/0!</v>
      </c>
      <c r="H44" s="3014"/>
      <c r="I44" s="610" t="e">
        <f>V44</f>
        <v>#DIV/0!</v>
      </c>
      <c r="J44" s="3014"/>
      <c r="K44" s="3015">
        <f>F44+H44+J44</f>
        <v>0</v>
      </c>
      <c r="L44" s="2025"/>
      <c r="M44" s="2015"/>
      <c r="N44" s="2015"/>
      <c r="O44" s="2026"/>
      <c r="P44" s="3458" t="str">
        <f>A44</f>
        <v>比较价格（元/平方米）</v>
      </c>
      <c r="Q44" s="3458"/>
      <c r="R44" s="3460" t="e">
        <f>ROUND(PRODUCT(R43,AA9:AA42),0)</f>
        <v>#DIV/0!</v>
      </c>
      <c r="S44" s="3460"/>
      <c r="T44" s="3460" t="e">
        <f>ROUND(PRODUCT(T43,AB9:AB42),0)</f>
        <v>#DIV/0!</v>
      </c>
      <c r="U44" s="3460"/>
      <c r="V44" s="3460" t="e">
        <f>ROUND(PRODUCT(V43,AC9:AC42),0)</f>
        <v>#DIV/0!</v>
      </c>
      <c r="W44" s="3460"/>
      <c r="X44" s="1496"/>
      <c r="Y44" s="1496"/>
      <c r="Z44" s="1496"/>
      <c r="AA44" s="1496"/>
      <c r="AB44" s="1496"/>
      <c r="AC44" s="1496"/>
    </row>
    <row r="45" spans="1:29" ht="15.75" thickBot="1">
      <c r="A45" s="612" t="s">
        <v>2904</v>
      </c>
      <c r="B45" s="613"/>
      <c r="C45" s="614" t="e">
        <f>R45</f>
        <v>#DIV/0!</v>
      </c>
      <c r="D45" s="614"/>
      <c r="E45" s="614"/>
      <c r="F45" s="614"/>
      <c r="G45" s="614"/>
      <c r="H45" s="614"/>
      <c r="I45" s="614"/>
      <c r="J45" s="614"/>
      <c r="K45" s="1294"/>
      <c r="L45" s="2025"/>
      <c r="M45" s="2015"/>
      <c r="N45" s="2015"/>
      <c r="O45" s="2026"/>
      <c r="P45" s="3455" t="str">
        <f>A45</f>
        <v>估价对象XX用房的比较价格（楼面单价，元/平方米）</v>
      </c>
      <c r="Q45" s="3456"/>
      <c r="R45" s="3507" t="e">
        <f>ROUND(IF(D44="简单平均",AVERAGE(R44:W44),R44*F44+T44*H44+V44*J44),0)</f>
        <v>#DIV/0!</v>
      </c>
      <c r="S45" s="3507"/>
      <c r="T45" s="3507"/>
      <c r="U45" s="3507"/>
      <c r="V45" s="3507"/>
      <c r="W45" s="3507"/>
      <c r="X45" s="1496"/>
      <c r="Y45" s="1496"/>
      <c r="Z45" s="1496"/>
      <c r="AA45" s="1496"/>
      <c r="AB45" s="1496"/>
      <c r="AC45" s="1496"/>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7" t="s">
        <v>1715</v>
      </c>
      <c r="D52" s="2106" t="s">
        <v>2281</v>
      </c>
      <c r="E52" s="622" t="s">
        <v>556</v>
      </c>
      <c r="F52" s="1864" t="s">
        <v>557</v>
      </c>
      <c r="G52" s="3502" t="s">
        <v>2272</v>
      </c>
      <c r="H52" s="3503"/>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t="e">
        <f>C45</f>
        <v>#DIV/0!</v>
      </c>
      <c r="C53" s="626">
        <v>1</v>
      </c>
      <c r="D53" s="2107">
        <v>1</v>
      </c>
      <c r="E53" s="626">
        <f>'数据-汇总表'!E8+'数据-汇总表'!E9</f>
        <v>9501</v>
      </c>
      <c r="F53" s="1863" t="e">
        <f t="shared" ref="F53:F62" si="15">ROUND(B53*E53/10000,0)</f>
        <v>#DIV/0!</v>
      </c>
      <c r="G53" s="3504"/>
      <c r="H53" s="3505"/>
      <c r="I53" s="1866">
        <v>1</v>
      </c>
      <c r="J53" s="1494">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t="e">
        <f>ROUND($C$45*C54*D54,0)</f>
        <v>#DIV/0!</v>
      </c>
      <c r="C54" s="371">
        <f t="shared" ref="C54:C62" si="16">IF($C$52="北京市系数",I54,J54)</f>
        <v>0.7</v>
      </c>
      <c r="D54" s="2108">
        <v>0.25</v>
      </c>
      <c r="E54" s="630"/>
      <c r="F54" s="1863" t="e">
        <f t="shared" si="15"/>
        <v>#DIV/0!</v>
      </c>
      <c r="G54" s="3506" t="s">
        <v>2273</v>
      </c>
      <c r="H54" s="1867" t="str">
        <f>项目基本情况!B43</f>
        <v>三级</v>
      </c>
      <c r="I54" s="1866">
        <f>SUMIF(修正!$A$45:$A$56,H54,修正!B45:B56)</f>
        <v>0.7</v>
      </c>
      <c r="J54" s="1495"/>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t="e">
        <f t="shared" ref="B55:B62" si="17">ROUND($C$45*C55*D55,0)</f>
        <v>#DIV/0!</v>
      </c>
      <c r="C55" s="371">
        <f t="shared" si="16"/>
        <v>0.4</v>
      </c>
      <c r="D55" s="2108">
        <v>0.25</v>
      </c>
      <c r="E55" s="630"/>
      <c r="F55" s="1863" t="e">
        <f t="shared" si="15"/>
        <v>#DIV/0!</v>
      </c>
      <c r="G55" s="3506"/>
      <c r="H55" s="1868" t="str">
        <f>项目基本情况!B43</f>
        <v>三级</v>
      </c>
      <c r="I55" s="1866">
        <f>SUMIF(修正!$A$45:$A$56,H55,修正!C45:C56)</f>
        <v>0.4</v>
      </c>
      <c r="J55" s="1495"/>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t="e">
        <f t="shared" si="17"/>
        <v>#DIV/0!</v>
      </c>
      <c r="C56" s="371">
        <f t="shared" si="16"/>
        <v>0.28000000000000003</v>
      </c>
      <c r="D56" s="2108">
        <v>0.25</v>
      </c>
      <c r="E56" s="630"/>
      <c r="F56" s="1863" t="e">
        <f t="shared" si="15"/>
        <v>#DIV/0!</v>
      </c>
      <c r="G56" s="3506"/>
      <c r="H56" s="1868" t="str">
        <f>项目基本情况!B43</f>
        <v>三级</v>
      </c>
      <c r="I56" s="1866">
        <f>SUMIF(修正!$A$45:$A$56,H56,修正!D45:D56)</f>
        <v>0.28000000000000003</v>
      </c>
      <c r="J56" s="1495"/>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t="e">
        <f t="shared" si="17"/>
        <v>#DIV/0!</v>
      </c>
      <c r="C57" s="371">
        <f t="shared" si="16"/>
        <v>0.25</v>
      </c>
      <c r="D57" s="2108">
        <v>0.25</v>
      </c>
      <c r="E57" s="630"/>
      <c r="F57" s="1863" t="e">
        <f t="shared" si="15"/>
        <v>#DIV/0!</v>
      </c>
      <c r="G57" s="3506"/>
      <c r="H57" s="1868" t="str">
        <f>项目基本情况!B43</f>
        <v>三级</v>
      </c>
      <c r="I57" s="1866">
        <f>SUMIF(修正!$A$45:$A$56,H57,修正!E45:E56)</f>
        <v>0.25</v>
      </c>
      <c r="J57" s="1495"/>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29" t="e">
        <f t="shared" si="17"/>
        <v>#DIV/0!</v>
      </c>
      <c r="C58" s="371">
        <f t="shared" si="16"/>
        <v>0.3</v>
      </c>
      <c r="D58" s="2108">
        <v>0.25</v>
      </c>
      <c r="E58" s="632">
        <f>'数据-汇总表'!E11</f>
        <v>0</v>
      </c>
      <c r="F58" s="1863" t="e">
        <f t="shared" si="15"/>
        <v>#DIV/0!</v>
      </c>
      <c r="G58" s="1869" t="s">
        <v>2274</v>
      </c>
      <c r="H58" s="1868" t="str">
        <f>项目基本情况!C43</f>
        <v>二级</v>
      </c>
      <c r="I58" s="1866">
        <f>SUMIF(修正!$A$45:$A$56,H58,修正!F45:F56)</f>
        <v>0.3</v>
      </c>
      <c r="J58" s="1495"/>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t="e">
        <f t="shared" si="17"/>
        <v>#DIV/0!</v>
      </c>
      <c r="C59" s="371">
        <f t="shared" si="16"/>
        <v>0.3</v>
      </c>
      <c r="D59" s="2108">
        <v>0.25</v>
      </c>
      <c r="E59" s="632">
        <f>'数据-汇总表'!E12</f>
        <v>0</v>
      </c>
      <c r="F59" s="1863" t="e">
        <f t="shared" si="15"/>
        <v>#DIV/0!</v>
      </c>
      <c r="G59" s="1859" t="s">
        <v>1668</v>
      </c>
      <c r="H59" s="1867" t="str">
        <f>IF(G59="商业",项目基本情况!B43,IF(G59="办公",项目基本情况!C43,IF(G59="住宅",项目基本情况!D43,项目基本情况!E43)))</f>
        <v>二级</v>
      </c>
      <c r="I59" s="1866">
        <f>SUMIF(修正!$A$45:$A$56,H59,修正!G45:G56)</f>
        <v>0.3</v>
      </c>
      <c r="J59" s="1495"/>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t="e">
        <f t="shared" si="17"/>
        <v>#DIV/0!</v>
      </c>
      <c r="C60" s="371">
        <f t="shared" si="16"/>
        <v>0</v>
      </c>
      <c r="D60" s="2108">
        <v>0.25</v>
      </c>
      <c r="E60" s="632">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t="e">
        <f t="shared" si="17"/>
        <v>#DIV/0!</v>
      </c>
      <c r="C61" s="371">
        <f t="shared" si="16"/>
        <v>0.2</v>
      </c>
      <c r="D61" s="2108">
        <v>0.25</v>
      </c>
      <c r="E61" s="632">
        <f>'数据-汇总表'!E14</f>
        <v>0</v>
      </c>
      <c r="F61" s="1863" t="e">
        <f t="shared" si="15"/>
        <v>#DIV/0!</v>
      </c>
      <c r="G61" s="1869" t="s">
        <v>2273</v>
      </c>
      <c r="H61" s="1868" t="str">
        <f>项目基本情况!B43</f>
        <v>三级</v>
      </c>
      <c r="I61" s="1866">
        <f>SUMIF(修正!$A$45:$A$56,H61,修正!H45:H56)</f>
        <v>0.2</v>
      </c>
      <c r="J61" s="1495"/>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t="e">
        <f t="shared" si="17"/>
        <v>#DIV/0!</v>
      </c>
      <c r="C62" s="371">
        <f t="shared" si="16"/>
        <v>0.25</v>
      </c>
      <c r="D62" s="2108">
        <v>0.25</v>
      </c>
      <c r="E62" s="632">
        <f>'数据-汇总表'!E15</f>
        <v>0</v>
      </c>
      <c r="F62" s="1863" t="e">
        <f t="shared" si="15"/>
        <v>#DIV/0!</v>
      </c>
      <c r="G62" s="1870" t="s">
        <v>2274</v>
      </c>
      <c r="H62" s="1871" t="str">
        <f>项目基本情况!C43</f>
        <v>二级</v>
      </c>
      <c r="I62" s="1866">
        <f>SUMIF(修正!$A$45:$A$56,H62,修正!H45:H56)</f>
        <v>0.25</v>
      </c>
      <c r="J62" s="1495"/>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2282</v>
      </c>
      <c r="E63" s="634">
        <f>IF(B43="楼面地价",SUM(E53:E62),'数据-汇总表'!D3)</f>
        <v>0</v>
      </c>
      <c r="F63" s="635"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2021-6-1</v>
      </c>
      <c r="D65" s="2515">
        <f>EDATE(C65,-3)</f>
        <v>44256</v>
      </c>
      <c r="E65" s="2515">
        <f t="shared" ref="E65:N65" si="18">EDATE(D65,-3)</f>
        <v>44166</v>
      </c>
      <c r="F65" s="2515">
        <f t="shared" si="18"/>
        <v>44075</v>
      </c>
      <c r="G65" s="2515">
        <f t="shared" si="18"/>
        <v>43983</v>
      </c>
      <c r="H65" s="2515">
        <f t="shared" si="18"/>
        <v>43891</v>
      </c>
      <c r="I65" s="2515">
        <f t="shared" si="18"/>
        <v>43800</v>
      </c>
      <c r="J65" s="2515">
        <f t="shared" si="18"/>
        <v>43709</v>
      </c>
      <c r="K65" s="2515">
        <f t="shared" si="18"/>
        <v>43617</v>
      </c>
      <c r="L65" s="2515">
        <f t="shared" si="18"/>
        <v>43525</v>
      </c>
      <c r="M65" s="2515">
        <f t="shared" si="18"/>
        <v>43435</v>
      </c>
      <c r="N65" s="2515">
        <f t="shared" si="18"/>
        <v>43344</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7"/>
      <c r="C67" s="2512" t="str">
        <f>YEAR(C65)&amp;"-"&amp;ROUNDUP(MONTH(C65)/3,0)</f>
        <v>2021-2</v>
      </c>
      <c r="D67" s="2517" t="str">
        <f t="shared" ref="D67:N67" si="19">YEAR(D65)&amp;"-"&amp;ROUNDUP(MONTH(D65)/3,0)</f>
        <v>2021-1</v>
      </c>
      <c r="E67" s="2517" t="str">
        <f t="shared" si="19"/>
        <v>2020-4</v>
      </c>
      <c r="F67" s="2517" t="str">
        <f t="shared" si="19"/>
        <v>2020-3</v>
      </c>
      <c r="G67" s="2517" t="str">
        <f t="shared" si="19"/>
        <v>2020-2</v>
      </c>
      <c r="H67" s="2517" t="str">
        <f t="shared" si="19"/>
        <v>2020-1</v>
      </c>
      <c r="I67" s="2517" t="str">
        <f t="shared" si="19"/>
        <v>2019-4</v>
      </c>
      <c r="J67" s="2517" t="str">
        <f t="shared" si="19"/>
        <v>2019-3</v>
      </c>
      <c r="K67" s="2517" t="str">
        <f t="shared" si="19"/>
        <v>2019-2</v>
      </c>
      <c r="L67" s="2517" t="str">
        <f t="shared" si="19"/>
        <v>2019-1</v>
      </c>
      <c r="M67" s="2517" t="str">
        <f t="shared" si="19"/>
        <v>2018-4</v>
      </c>
      <c r="N67" s="2517" t="str">
        <f t="shared" si="19"/>
        <v>2018-3</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2" t="str">
        <f>"北京市平均增长率"&amp;TEXT(基准地价!P24,"0.00%")</f>
        <v>北京市平均增长率1.25%</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7"/>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8"/>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9"/>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8"/>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9"/>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8"/>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30"/>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30"/>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8"/>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9"/>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8"/>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2530</v>
      </c>
      <c r="C93" s="694" t="s">
        <v>573</v>
      </c>
      <c r="D93" s="694" t="s">
        <v>574</v>
      </c>
      <c r="E93" s="694" t="s">
        <v>575</v>
      </c>
      <c r="F93" s="694" t="s">
        <v>576</v>
      </c>
      <c r="G93" s="694" t="s">
        <v>577</v>
      </c>
      <c r="H93" s="704"/>
      <c r="I93" s="704"/>
      <c r="J93" s="704"/>
      <c r="K93" s="704"/>
      <c r="L93" s="705"/>
      <c r="M93" s="706"/>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2532</v>
      </c>
      <c r="C95" s="2441" t="s">
        <v>2533</v>
      </c>
      <c r="D95" s="2441" t="s">
        <v>2534</v>
      </c>
      <c r="E95" s="2441" t="s">
        <v>2535</v>
      </c>
      <c r="F95" s="2441" t="s">
        <v>2536</v>
      </c>
      <c r="G95" s="2441" t="s">
        <v>2537</v>
      </c>
      <c r="H95" s="704"/>
      <c r="I95" s="704"/>
      <c r="J95" s="704"/>
      <c r="K95" s="704"/>
      <c r="L95" s="704"/>
      <c r="M95" s="706"/>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30"/>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8"/>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8"/>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8"/>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8"/>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9"/>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8"/>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9"/>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8"/>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9"/>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8"/>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2410</v>
      </c>
      <c r="C114" s="1326"/>
      <c r="D114" s="1326"/>
      <c r="E114" s="1326"/>
      <c r="F114" s="1326"/>
      <c r="G114" s="1326"/>
      <c r="H114" s="709"/>
      <c r="I114" s="709"/>
      <c r="J114" s="709"/>
      <c r="K114" s="710"/>
      <c r="L114" s="711"/>
      <c r="M114" s="712"/>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8"/>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8"/>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9"/>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8"/>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90" zoomScaleNormal="60" zoomScaleSheetLayoutView="90" workbookViewId="0">
      <selection activeCell="D30" sqref="D3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9501</v>
      </c>
      <c r="E1" s="1354" t="s">
        <v>2412</v>
      </c>
      <c r="F1" s="2306"/>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4">
        <f ca="1">C26</f>
        <v>26009</v>
      </c>
      <c r="C2" s="1355" t="s">
        <v>912</v>
      </c>
      <c r="D2" s="1356" t="s">
        <v>913</v>
      </c>
      <c r="E2" s="1357" t="s">
        <v>1668</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Ⅱ—04</v>
      </c>
      <c r="J2" s="1358"/>
      <c r="K2" s="3231"/>
      <c r="L2" s="1798" t="s">
        <v>2228</v>
      </c>
      <c r="M2" s="1799">
        <f>SUMPRODUCT((区片价!B10:B28=I2)*(区片价!C3:F3=E2)*(区片价!C10:F28))</f>
        <v>22270</v>
      </c>
      <c r="N2" s="1800">
        <f>SUMPRODUCT((因素修正幅度!B10:B28=I2)*(因素修正幅度!C3:F3=E2)*(因素修正幅度!C10:F28))</f>
        <v>6.5000000000000002E-2</v>
      </c>
      <c r="O2" s="3231"/>
      <c r="P2" s="2069"/>
      <c r="Q2" s="2069"/>
      <c r="R2" s="2653">
        <v>1</v>
      </c>
      <c r="S2" s="2653">
        <f>ROUND(IF(G3&gt;1,IF(R2&lt;7,SUMPRODUCT((B93:B98=R2)*(C92:N92=G2)*(C93:N98)),SUMIF(C92:N92,G2,C100:N100)),IF(R2&lt;7,SUMPRODUCT((B102:B107=R2)*(C92:N92=G2)*(C102:N107)),SUMIF(C92:N92,G2,C109:N109))),4)</f>
        <v>1.9361999999999999</v>
      </c>
      <c r="T2" s="2653">
        <f ca="1">ROUND($C$5*$C$18*$C$19*$C$20*S2*$C$24,0)</f>
        <v>59535</v>
      </c>
      <c r="U2" s="2642"/>
      <c r="V2" s="2653">
        <f ca="1">ROUND(T2*U2/10000,0)</f>
        <v>0</v>
      </c>
      <c r="W2" s="2069"/>
      <c r="X2" s="2069"/>
      <c r="Y2" s="2069"/>
      <c r="Z2" s="2069"/>
      <c r="AA2" s="2069"/>
      <c r="AB2" s="2069"/>
      <c r="AC2" s="2070"/>
    </row>
    <row r="3" spans="1:39" ht="24">
      <c r="A3" s="1359" t="s">
        <v>1678</v>
      </c>
      <c r="B3" s="1024">
        <f ca="1">ROUND(B2*10000/D1,0)</f>
        <v>27375</v>
      </c>
      <c r="C3" s="1355" t="s">
        <v>918</v>
      </c>
      <c r="D3" s="1356" t="s">
        <v>919</v>
      </c>
      <c r="E3" s="1360" t="s">
        <v>3009</v>
      </c>
      <c r="F3" s="1361" t="s">
        <v>3010</v>
      </c>
      <c r="G3" s="1025">
        <f>IF(F3="宗地容积率",'数据-汇总表'!I4,IF(F3="估价对象容积率",'数据-汇总表'!I6,'数据-汇总表'!I7))</f>
        <v>6</v>
      </c>
      <c r="H3" s="1362" t="s">
        <v>920</v>
      </c>
      <c r="I3" s="1026"/>
      <c r="J3" s="1358" t="s">
        <v>921</v>
      </c>
      <c r="K3" s="3231"/>
      <c r="L3" s="1798" t="s">
        <v>2229</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43656</v>
      </c>
      <c r="U3" s="2642"/>
      <c r="V3" s="2653">
        <f t="shared" ref="V3:V16" ca="1" si="1">ROUND(T3*U3/10000,0)</f>
        <v>0</v>
      </c>
      <c r="W3" s="2069"/>
      <c r="X3" s="2069"/>
      <c r="Y3" s="2069"/>
      <c r="Z3" s="2069"/>
      <c r="AA3" s="2069"/>
      <c r="AB3" s="2069"/>
      <c r="AC3" s="2070"/>
    </row>
    <row r="4" spans="1:39" ht="28.5">
      <c r="A4" s="1804" t="s">
        <v>2268</v>
      </c>
      <c r="B4" s="2307" t="e">
        <f ca="1">ROUND(B2*10000/F1,0)</f>
        <v>#DIV/0!</v>
      </c>
      <c r="C4" s="1807" t="s">
        <v>2243</v>
      </c>
      <c r="D4" s="1807" t="e">
        <f ca="1">ROUND(B2/(F1/666.67),0)</f>
        <v>#DIV/0!</v>
      </c>
      <c r="E4" s="1807" t="s">
        <v>2244</v>
      </c>
      <c r="F4" s="1805"/>
      <c r="G4" s="1805"/>
      <c r="H4" s="1805"/>
      <c r="I4" s="1805"/>
      <c r="J4" s="1806"/>
      <c r="K4" s="3232"/>
      <c r="L4" s="1798" t="s">
        <v>2230</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35649</v>
      </c>
      <c r="U4" s="2642"/>
      <c r="V4" s="2653">
        <f t="shared" ca="1" si="1"/>
        <v>0</v>
      </c>
      <c r="W4" s="2069"/>
      <c r="X4" s="2069"/>
      <c r="Y4" s="2069"/>
      <c r="Z4" s="2069"/>
      <c r="AA4" s="2069"/>
      <c r="AB4" s="2069"/>
      <c r="AC4" s="2070"/>
    </row>
    <row r="5" spans="1:39" s="1369" customFormat="1" ht="15.75" thickBot="1">
      <c r="A5" s="1566" t="s">
        <v>1814</v>
      </c>
      <c r="B5" s="1363" t="s">
        <v>922</v>
      </c>
      <c r="C5" s="1027">
        <f>ROUND(IF(E2="商业",C6*C7+C16,(IF(E2="住宅",C6*C12+C16,C6+C16))),0)</f>
        <v>22270</v>
      </c>
      <c r="D5" s="2792">
        <f>ROUND(C6+C16,0)</f>
        <v>22270</v>
      </c>
      <c r="E5" s="2792"/>
      <c r="F5" s="1364"/>
      <c r="G5" s="1365"/>
      <c r="H5" s="1365"/>
      <c r="I5" s="1365"/>
      <c r="J5" s="1366"/>
      <c r="K5" s="3233"/>
      <c r="L5" s="1798" t="s">
        <v>2231</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29586</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22270</v>
      </c>
      <c r="D6" s="1371" t="s">
        <v>1686</v>
      </c>
      <c r="E6" s="1372"/>
      <c r="F6" s="1372"/>
      <c r="G6" s="1373"/>
      <c r="H6" s="1373"/>
      <c r="I6" s="1373"/>
      <c r="J6" s="1374"/>
      <c r="K6" s="3234"/>
      <c r="L6" s="1798" t="s">
        <v>2232</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25881</v>
      </c>
      <c r="U6" s="2642"/>
      <c r="V6" s="2653">
        <f t="shared" ca="1" si="1"/>
        <v>0</v>
      </c>
      <c r="W6" s="2069"/>
      <c r="X6" s="2069"/>
      <c r="Y6" s="2069"/>
      <c r="Z6" s="2069"/>
      <c r="AA6" s="2069"/>
      <c r="AB6" s="2069"/>
      <c r="AC6" s="2071"/>
      <c r="AD6" s="1367"/>
      <c r="AE6" s="1367"/>
      <c r="AF6" s="1367"/>
      <c r="AG6" s="1367"/>
      <c r="AH6" s="1367"/>
      <c r="AI6" s="1367"/>
      <c r="AJ6" s="1368"/>
    </row>
    <row r="7" spans="1:39" ht="24">
      <c r="A7" s="3522" t="str">
        <f>IF(E2="商业",IF(C8="不临58条商业街","",2),"")</f>
        <v/>
      </c>
      <c r="B7" s="1375" t="s">
        <v>923</v>
      </c>
      <c r="C7" s="1029" t="e">
        <f>IF(C8="不临58条商业街",1,ROUND(1+(1.6*E8+1.2*E9+0.8*E10+0.4*E11)*C9,4))</f>
        <v>#DIV/0!</v>
      </c>
      <c r="D7" s="1376" t="s">
        <v>924</v>
      </c>
      <c r="E7" s="1030"/>
      <c r="F7" s="1377"/>
      <c r="G7" s="1378"/>
      <c r="H7" s="1378"/>
      <c r="I7" s="1378"/>
      <c r="J7" s="1379"/>
      <c r="K7" s="3234"/>
      <c r="L7" s="1798" t="s">
        <v>2233</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23393</v>
      </c>
      <c r="U7" s="2642"/>
      <c r="V7" s="2653">
        <f t="shared" ca="1" si="1"/>
        <v>0</v>
      </c>
      <c r="W7" s="2651" t="s">
        <v>2745</v>
      </c>
      <c r="X7" s="2643" t="str">
        <f>G2</f>
        <v>二级</v>
      </c>
      <c r="Y7" s="2643" t="s">
        <v>2746</v>
      </c>
      <c r="Z7" s="2644">
        <f>G3</f>
        <v>6</v>
      </c>
      <c r="AA7" s="2072"/>
      <c r="AB7" s="2072"/>
      <c r="AC7" s="2073"/>
      <c r="AD7" s="2645"/>
      <c r="AE7" s="2645"/>
      <c r="AF7" s="2645"/>
      <c r="AG7" s="2645"/>
      <c r="AH7" s="2645"/>
      <c r="AI7" s="2645"/>
      <c r="AJ7" s="2646"/>
    </row>
    <row r="8" spans="1:39" ht="15">
      <c r="A8" s="3523"/>
      <c r="B8" s="1362" t="s">
        <v>925</v>
      </c>
      <c r="C8" s="1468"/>
      <c r="D8" s="1031" t="s">
        <v>926</v>
      </c>
      <c r="E8" s="1032" t="e">
        <f>ROUND(C11/E7,4)</f>
        <v>#DIV/0!</v>
      </c>
      <c r="F8" s="1380" t="s">
        <v>927</v>
      </c>
      <c r="G8" s="1381"/>
      <c r="H8" s="1381"/>
      <c r="I8" s="1381"/>
      <c r="J8" s="1382"/>
      <c r="K8" s="3234"/>
      <c r="L8" s="1798" t="s">
        <v>2234</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09" t="s">
        <v>2763</v>
      </c>
      <c r="X8" s="3510"/>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23"/>
      <c r="B9" s="1362" t="s">
        <v>928</v>
      </c>
      <c r="C9" s="1033">
        <f>SUMIF(修正!C59:C119,C8,修正!E59:E119)</f>
        <v>0</v>
      </c>
      <c r="D9" s="1034" t="s">
        <v>929</v>
      </c>
      <c r="E9" s="1034" t="e">
        <f>ROUND(C11/E7,4)</f>
        <v>#DIV/0!</v>
      </c>
      <c r="F9" s="1380" t="s">
        <v>930</v>
      </c>
      <c r="G9" s="1381"/>
      <c r="H9" s="1381"/>
      <c r="I9" s="1381"/>
      <c r="J9" s="1382"/>
      <c r="K9" s="3234"/>
      <c r="L9" s="1798" t="s">
        <v>2235</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08"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23"/>
      <c r="B10" s="1362" t="s">
        <v>931</v>
      </c>
      <c r="C10" s="1034">
        <f>SUMIF(修正!C59:C119,C8,修正!F59:F119)</f>
        <v>0</v>
      </c>
      <c r="D10" s="1034" t="s">
        <v>932</v>
      </c>
      <c r="E10" s="1034" t="e">
        <f>ROUND(C11/E7,4)</f>
        <v>#DIV/0!</v>
      </c>
      <c r="F10" s="1380" t="s">
        <v>933</v>
      </c>
      <c r="G10" s="1381"/>
      <c r="H10" s="1381"/>
      <c r="I10" s="1381"/>
      <c r="J10" s="1382"/>
      <c r="K10" s="3234"/>
      <c r="L10" s="1798" t="s">
        <v>2236</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08"/>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23"/>
      <c r="B11" s="1383" t="s">
        <v>934</v>
      </c>
      <c r="C11" s="1035">
        <f>C10/4</f>
        <v>0</v>
      </c>
      <c r="D11" s="1035" t="s">
        <v>935</v>
      </c>
      <c r="E11" s="1035" t="e">
        <f>ROUND(C11/E7,4)</f>
        <v>#DIV/0!</v>
      </c>
      <c r="F11" s="1384" t="s">
        <v>936</v>
      </c>
      <c r="G11" s="1385"/>
      <c r="H11" s="1385"/>
      <c r="I11" s="1385"/>
      <c r="J11" s="1386"/>
      <c r="K11" s="3234"/>
      <c r="L11" s="1798" t="s">
        <v>2237</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08" t="s">
        <v>2761</v>
      </c>
      <c r="X11" s="1034" t="s">
        <v>2746</v>
      </c>
      <c r="Y11" s="1581">
        <f>$G$3</f>
        <v>6</v>
      </c>
      <c r="Z11" s="1581">
        <f t="shared" ref="Z11:AJ11" si="3">$G$3</f>
        <v>6</v>
      </c>
      <c r="AA11" s="1581">
        <f t="shared" si="3"/>
        <v>6</v>
      </c>
      <c r="AB11" s="1581">
        <f t="shared" si="3"/>
        <v>6</v>
      </c>
      <c r="AC11" s="1581">
        <f t="shared" si="3"/>
        <v>6</v>
      </c>
      <c r="AD11" s="1581">
        <f t="shared" si="3"/>
        <v>6</v>
      </c>
      <c r="AE11" s="1581">
        <f t="shared" si="3"/>
        <v>6</v>
      </c>
      <c r="AF11" s="1581">
        <f t="shared" si="3"/>
        <v>6</v>
      </c>
      <c r="AG11" s="1581">
        <f t="shared" si="3"/>
        <v>6</v>
      </c>
      <c r="AH11" s="1581">
        <f t="shared" si="3"/>
        <v>6</v>
      </c>
      <c r="AI11" s="1581">
        <f t="shared" si="3"/>
        <v>6</v>
      </c>
      <c r="AJ11" s="1581">
        <f t="shared" si="3"/>
        <v>6</v>
      </c>
    </row>
    <row r="12" spans="1:39" ht="25.5" thickBot="1">
      <c r="A12" s="3522" t="s">
        <v>1862</v>
      </c>
      <c r="B12" s="1387" t="s">
        <v>937</v>
      </c>
      <c r="C12" s="1029">
        <f>ROUND(C15*D15*E15*F15*G15*H15*I15*J15,4)</f>
        <v>1</v>
      </c>
      <c r="D12" s="1388" t="s">
        <v>938</v>
      </c>
      <c r="E12" s="1389"/>
      <c r="F12" s="1389"/>
      <c r="G12" s="1390"/>
      <c r="H12" s="1390"/>
      <c r="I12" s="1390"/>
      <c r="J12" s="1391"/>
      <c r="K12" s="3234"/>
      <c r="L12" s="1801" t="s">
        <v>2238</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08"/>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24"/>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08"/>
      <c r="X13" s="2650"/>
      <c r="Y13" s="2649">
        <f>(-0.163*(Y12^2)-0.59*Y12+7617)*(10^(-4))/Y11</f>
        <v>0.12695000000000001</v>
      </c>
      <c r="Z13" s="2649">
        <f t="shared" ref="Z13:AJ13" si="5">(-0.163*(Z12^2)-0.59*Z12+7617)*(10^(-4))/Z11</f>
        <v>0.12695000000000001</v>
      </c>
      <c r="AA13" s="2649">
        <f t="shared" si="5"/>
        <v>0.12695000000000001</v>
      </c>
      <c r="AB13" s="2649">
        <f t="shared" si="5"/>
        <v>0.12695000000000001</v>
      </c>
      <c r="AC13" s="2649">
        <f t="shared" si="5"/>
        <v>0.12695000000000001</v>
      </c>
      <c r="AD13" s="2649">
        <f t="shared" si="5"/>
        <v>0.12695000000000001</v>
      </c>
      <c r="AE13" s="2649">
        <f t="shared" si="5"/>
        <v>0.12695000000000001</v>
      </c>
      <c r="AF13" s="2649">
        <f t="shared" si="5"/>
        <v>0.12695000000000001</v>
      </c>
      <c r="AG13" s="2649">
        <f t="shared" si="5"/>
        <v>0.12695000000000001</v>
      </c>
      <c r="AH13" s="2649">
        <f t="shared" si="5"/>
        <v>0.12695000000000001</v>
      </c>
      <c r="AI13" s="2649">
        <f t="shared" si="5"/>
        <v>0.12695000000000001</v>
      </c>
      <c r="AJ13" s="2649">
        <f t="shared" si="5"/>
        <v>0.12695000000000001</v>
      </c>
    </row>
    <row r="14" spans="1:39" ht="12.75" customHeight="1">
      <c r="A14" s="3524"/>
      <c r="B14" s="1399"/>
      <c r="C14" s="1400"/>
      <c r="D14" s="1401"/>
      <c r="E14" s="1401"/>
      <c r="F14" s="1402"/>
      <c r="G14" s="1403" t="s">
        <v>940</v>
      </c>
      <c r="H14" s="1404"/>
      <c r="I14" s="1405"/>
      <c r="J14" s="1406"/>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25"/>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22" t="s">
        <v>1829</v>
      </c>
      <c r="B16" s="1375" t="s">
        <v>941</v>
      </c>
      <c r="C16" s="1038">
        <f>ROUND(IF(F17="与级别开发程度一致",0,(G17-E17)/C17),0)</f>
        <v>0</v>
      </c>
      <c r="D16" s="3516" t="s">
        <v>945</v>
      </c>
      <c r="E16" s="3517"/>
      <c r="F16" s="3516" t="s">
        <v>942</v>
      </c>
      <c r="G16" s="3517"/>
      <c r="H16" s="1407"/>
      <c r="I16" s="1407"/>
      <c r="J16" s="1407"/>
      <c r="K16" s="1407"/>
      <c r="L16" s="1407"/>
      <c r="M16" s="1407"/>
      <c r="N16" s="1407"/>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26"/>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3011</v>
      </c>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1.3807</v>
      </c>
      <c r="D19" s="1414" t="s">
        <v>948</v>
      </c>
      <c r="E19" s="1040">
        <v>41640</v>
      </c>
      <c r="F19" s="1414" t="s">
        <v>949</v>
      </c>
      <c r="G19" s="1041">
        <f>'数据-取费表'!B2</f>
        <v>44371</v>
      </c>
      <c r="H19" s="1415" t="s">
        <v>3012</v>
      </c>
      <c r="I19" s="2502" t="str">
        <f>IF(H19="季度增幅（自定义）",SUMIF(N21:N24,E2,O21:O24),"")</f>
        <v/>
      </c>
      <c r="J19" s="1411"/>
      <c r="K19" s="3233"/>
      <c r="L19" s="2752" t="s">
        <v>2821</v>
      </c>
      <c r="M19" s="2753">
        <f>ROUND(SUMIF(地价!B2:F2,E2,地价!B34:F34),0)</f>
        <v>258</v>
      </c>
      <c r="N19" s="2504" t="s">
        <v>1667</v>
      </c>
      <c r="O19" s="2503">
        <f>ROUNDDOWN(DATEDIF(E19,G19,"M")/3,0)</f>
        <v>29</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1</v>
      </c>
      <c r="D20" s="2499" t="s">
        <v>963</v>
      </c>
      <c r="E20" s="2782">
        <f ca="1">存贷款利率!I4/100</f>
        <v>4.3499999999999997E-2</v>
      </c>
      <c r="F20" s="2499" t="s">
        <v>964</v>
      </c>
      <c r="G20" s="2500">
        <f ca="1">SUMIF(M26:P26,E2,M28:P28)</f>
        <v>5.1999999999999998E-2</v>
      </c>
      <c r="H20" s="2499" t="s">
        <v>965</v>
      </c>
      <c r="I20" s="2495">
        <f>SUMIF('数据-取费表'!C6:C15,E2,'数据-取费表'!F6:F15)/COUNTIF('数据-取费表'!C6:C15,E2)</f>
        <v>50</v>
      </c>
      <c r="J20" s="2501">
        <f>IF(E2="住宅",70,IF(E2="商业",40,50))</f>
        <v>50</v>
      </c>
      <c r="K20" s="2843"/>
      <c r="L20" s="2754" t="s">
        <v>2822</v>
      </c>
      <c r="M20" s="2836">
        <f>ROUND(SUMPRODUCT((地价!A4:A34=YEAR(G19)&amp;"-"&amp;ROUNDUP(MONTH(G19)/3,0))*(地价!B2:F2=E2)*(地价!B4:F34)),0)</f>
        <v>348</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3013</v>
      </c>
      <c r="C21" s="1140">
        <f>IF(B21="容积率修正",IF(G3&lt;=10,D22,J22),C23)</f>
        <v>0.89029999999999998</v>
      </c>
      <c r="D21" s="1421"/>
      <c r="E21" s="1421"/>
      <c r="F21" s="1421"/>
      <c r="G21" s="1421"/>
      <c r="H21" s="1421"/>
      <c r="I21" s="1421"/>
      <c r="J21" s="1422"/>
      <c r="K21" s="3233"/>
      <c r="L21" s="1421"/>
      <c r="M21" s="1421"/>
      <c r="N21" s="1418" t="s">
        <v>966</v>
      </c>
      <c r="O21" s="1481"/>
      <c r="P21" s="2494">
        <f>SUMPRODUCT((地价!A3:A34=YEAR(G19)&amp;"-"&amp;ROUNDUP(MONTH(G19)/3,0))*(地价!AD2:AH2=N21)*(地价!AD3:AH34))</f>
        <v>1.09E-2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0.89029999999999998</v>
      </c>
      <c r="E22" s="1025">
        <f>ROUNDDOWN(G3,1)</f>
        <v>6</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0.89029999999999998</v>
      </c>
      <c r="G22" s="1025">
        <f>ROUNDUP(G3,1)</f>
        <v>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0.89029999999999998</v>
      </c>
      <c r="I22" s="1042" t="s">
        <v>968</v>
      </c>
      <c r="J22" s="1042" t="str">
        <f>IF(G3&gt;10,D113,"——")</f>
        <v>——</v>
      </c>
      <c r="K22" s="3239"/>
      <c r="L22" s="1421"/>
      <c r="M22" s="1421"/>
      <c r="N22" s="1418" t="s">
        <v>969</v>
      </c>
      <c r="O22" s="1481"/>
      <c r="P22" s="2494">
        <f>SUMPRODUCT((地价!A3:A34=YEAR(G19)&amp;"-"&amp;ROUNDUP(MONTH(G19)/3,0))*(地价!AD2:AH2=N22)*(地价!AD3:AH34))</f>
        <v>1.09E-2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4">
        <f>SUMPRODUCT((地价!A3:A34=YEAR(G19)&amp;"-"&amp;ROUNDUP(MONTH(G19)/3,0))*(地价!AD2:AH2=N23)*(地价!AD3:AH34))</f>
        <v>1.9E-2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v>
      </c>
      <c r="D24" s="1474"/>
      <c r="E24" s="1475"/>
      <c r="F24" s="1475"/>
      <c r="G24" s="1475"/>
      <c r="H24" s="1475"/>
      <c r="I24" s="1475"/>
      <c r="J24" s="1475"/>
      <c r="K24" s="3240"/>
      <c r="L24" s="1421"/>
      <c r="M24" s="1421"/>
      <c r="N24" s="1418" t="s">
        <v>972</v>
      </c>
      <c r="O24" s="2835"/>
      <c r="P24" s="2494">
        <f>SUMPRODUCT((地价!A3:A34=YEAR(G19)&amp;"-"&amp;ROUNDUP(MONTH(G19)/3,0))*(地价!AD2:AH2=N24)*(地价!AD3:AH34))</f>
        <v>1.2500000000000001E-2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5"/>
      <c r="M25" s="2075"/>
      <c r="N25" s="2837" t="s">
        <v>2629</v>
      </c>
      <c r="O25" s="2838"/>
      <c r="P25" s="2301">
        <f>SUMPRODUCT((地价!A3:A34=YEAR(G19)&amp;"-"&amp;ROUNDUP(MONTH(G19)/3,0))*(地价!AD2:AH2=N25)*(地价!AD3:AH34))</f>
        <v>1.7299999999999999E-2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26009</v>
      </c>
      <c r="D26" s="1429"/>
      <c r="E26" s="1404"/>
      <c r="F26" s="1430"/>
      <c r="G26" s="1404"/>
      <c r="H26" s="1404"/>
      <c r="I26" s="1404"/>
      <c r="J26" s="1431"/>
      <c r="K26" s="3234"/>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4"/>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27375</v>
      </c>
      <c r="D29" s="1443">
        <f>'数据-汇总表'!F19</f>
        <v>9501</v>
      </c>
      <c r="E29" s="1762">
        <f ca="1">ROUND(C29*D29/10000,0)</f>
        <v>26009</v>
      </c>
      <c r="F29" s="1444" t="s">
        <v>1692</v>
      </c>
      <c r="G29" s="1445"/>
      <c r="H29" s="1445"/>
      <c r="I29" s="1445"/>
      <c r="J29" s="1446"/>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f ca="1">ROUND(IF(E2="工业",C29*M39,C29*M38),0)</f>
        <v>6844</v>
      </c>
      <c r="D30" s="1449"/>
      <c r="E30" s="1762">
        <f ca="1">ROUND(C30*D30/10000,0)</f>
        <v>0</v>
      </c>
      <c r="F30" s="1450" t="s">
        <v>986</v>
      </c>
      <c r="G30" s="1451"/>
      <c r="H30" s="1451"/>
      <c r="I30" s="1451"/>
      <c r="J30" s="1452"/>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18"/>
      <c r="B33" s="1463" t="s">
        <v>990</v>
      </c>
      <c r="C33" s="1045">
        <f ca="1">ROUND(D5*C19*C20*C24*F33,0)</f>
        <v>24599</v>
      </c>
      <c r="D33" s="1476"/>
      <c r="E33" s="1034">
        <f ca="1">ROUND(C33*D33/10000,0)</f>
        <v>0</v>
      </c>
      <c r="F33" s="1034">
        <f>SUMIF(修正!A45:A56,G2,修正!B45:B56)</f>
        <v>0.8</v>
      </c>
      <c r="G33" s="1034">
        <f t="shared" ref="G33" ca="1" si="6">ROUND(IF(E2="工业",C33*$M$39,C33*$M$38),0)</f>
        <v>6150</v>
      </c>
      <c r="H33" s="1034">
        <f>D33</f>
        <v>0</v>
      </c>
      <c r="I33" s="1034">
        <f ca="1">ROUND(G33*H33/10000,0)</f>
        <v>0</v>
      </c>
      <c r="J33" s="3518" t="s">
        <v>2992</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19"/>
      <c r="B34" s="1393" t="s">
        <v>991</v>
      </c>
      <c r="C34" s="1045">
        <f ca="1">ROUND(D5*C19*C20*C24*F34,0)</f>
        <v>15374</v>
      </c>
      <c r="D34" s="1476"/>
      <c r="E34" s="1034">
        <f t="shared" ref="E34:E39" ca="1" si="7">ROUND(C34*D34/10000,0)</f>
        <v>0</v>
      </c>
      <c r="F34" s="1034">
        <f>SUMIF(修正!A45:A56,G2,修正!C45:C56)</f>
        <v>0.5</v>
      </c>
      <c r="G34" s="1034">
        <f ca="1">ROUND(IF(E2="工业",C34*$M$39,C34*$M$38),0)</f>
        <v>3844</v>
      </c>
      <c r="H34" s="1034">
        <f t="shared" ref="H34:H39" si="8">D34</f>
        <v>0</v>
      </c>
      <c r="I34" s="1034">
        <f t="shared" ref="I34:I39" ca="1" si="9">ROUND(G34*H34/10000,0)</f>
        <v>0</v>
      </c>
      <c r="J34" s="3519"/>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19"/>
      <c r="B35" s="1393" t="s">
        <v>992</v>
      </c>
      <c r="C35" s="1045">
        <f ca="1">ROUND(D5*C19*C20*C24*F35,0)</f>
        <v>11069</v>
      </c>
      <c r="D35" s="1476"/>
      <c r="E35" s="1034">
        <f t="shared" ca="1" si="7"/>
        <v>0</v>
      </c>
      <c r="F35" s="1034">
        <f>SUMIF(修正!A45:A56,G2,修正!D45:D56)</f>
        <v>0.36</v>
      </c>
      <c r="G35" s="1034">
        <f ca="1">ROUND(IF(E2="工业",C35*$M$39,C35*$M$38),0)</f>
        <v>2767</v>
      </c>
      <c r="H35" s="1034">
        <f t="shared" si="8"/>
        <v>0</v>
      </c>
      <c r="I35" s="1034">
        <f t="shared" ca="1" si="9"/>
        <v>0</v>
      </c>
      <c r="J35" s="3519"/>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20"/>
      <c r="B36" s="1393" t="s">
        <v>993</v>
      </c>
      <c r="C36" s="1045">
        <f ca="1">ROUND(D5*C19*C20*C24*F36,0)</f>
        <v>9224</v>
      </c>
      <c r="D36" s="1476"/>
      <c r="E36" s="1034">
        <f t="shared" ca="1" si="7"/>
        <v>0</v>
      </c>
      <c r="F36" s="1034">
        <f>SUMIF(修正!A45:A56,G2,修正!E45:E56)</f>
        <v>0.3</v>
      </c>
      <c r="G36" s="1034">
        <f ca="1">ROUND(IF(E2="工业",C36*$M$39,C36*$M$38),0)</f>
        <v>2306</v>
      </c>
      <c r="H36" s="1034">
        <f t="shared" si="8"/>
        <v>0</v>
      </c>
      <c r="I36" s="1034">
        <f t="shared" ca="1" si="9"/>
        <v>0</v>
      </c>
      <c r="J36" s="3520"/>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f ca="1">ROUND(D5*C19*C20*C24*F37,0)</f>
        <v>9224</v>
      </c>
      <c r="D37" s="1476"/>
      <c r="E37" s="1034">
        <f t="shared" ca="1" si="7"/>
        <v>0</v>
      </c>
      <c r="F37" s="1045">
        <f>SUMIF(修正!A45:A56,G2,修正!F45:F56)</f>
        <v>0.3</v>
      </c>
      <c r="G37" s="1034">
        <f ca="1">ROUND(IF(E2="工业",C37*$M$39,C37*$M$38),0)</f>
        <v>2306</v>
      </c>
      <c r="H37" s="1034">
        <f t="shared" si="8"/>
        <v>0</v>
      </c>
      <c r="I37" s="1034">
        <f t="shared" ca="1" si="9"/>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f ca="1">ROUND(D5*C19*C41*C24*F38,0)</f>
        <v>0</v>
      </c>
      <c r="D38" s="1476"/>
      <c r="E38" s="1034">
        <f t="shared" ca="1" si="7"/>
        <v>0</v>
      </c>
      <c r="F38" s="1045">
        <f>SUMIF(修正!A45:A56,G2,修正!G45:G56)</f>
        <v>0.3</v>
      </c>
      <c r="G38" s="1034">
        <f ca="1">ROUND(IF(E2="工业",C38*$M$39,C38*$M$38),0)</f>
        <v>0</v>
      </c>
      <c r="H38" s="1034">
        <f t="shared" si="8"/>
        <v>0</v>
      </c>
      <c r="I38" s="1034">
        <f t="shared" ca="1" si="9"/>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7"/>
        <v>0</v>
      </c>
      <c r="F39" s="1047">
        <f>SUMIF(修正!A45:A56,G2,修正!H45:H56)</f>
        <v>0.25</v>
      </c>
      <c r="G39" s="1037">
        <f ca="1">ROUND(IF(E2="工业",C39*$M$39,C39*$M$38),0)</f>
        <v>0</v>
      </c>
      <c r="H39" s="1037">
        <f t="shared" si="8"/>
        <v>0</v>
      </c>
      <c r="I39" s="1037">
        <f t="shared" ca="1" si="9"/>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2950</v>
      </c>
      <c r="C41" s="827">
        <f ca="1">ROUND(POWER(1+E41,H41-G41)*(POWER(1+E41,G41)-1)/(POWER(1+E41,H41)-1),4)</f>
        <v>0</v>
      </c>
      <c r="D41" s="371" t="s">
        <v>2948</v>
      </c>
      <c r="E41" s="2831">
        <f ca="1">G20</f>
        <v>5.1999999999999998E-2</v>
      </c>
      <c r="F41" s="371" t="s">
        <v>2949</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1014</v>
      </c>
      <c r="B50" s="2784" t="s">
        <v>2906</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1016</v>
      </c>
      <c r="B52" s="2783" t="s">
        <v>2905</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f>IF(E2="办公",SUMIF(L1:L12,G2,N1:N12),"——")</f>
        <v>6.5000000000000002E-2</v>
      </c>
      <c r="G58" s="2269"/>
      <c r="H58" s="2314">
        <f>IFERROR(ROUNDDOWN($F$58*I58/2,4),"——")</f>
        <v>7.7999999999999996E-3</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f t="shared" ref="H59:H66" si="19">IFERROR($F$58*I59/2,"——")</f>
        <v>9.75E-3</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1013</v>
      </c>
      <c r="B60" s="2262">
        <f>估价对象房地状况!C19</f>
        <v>0</v>
      </c>
      <c r="C60" s="1036"/>
      <c r="D60" s="2271">
        <f t="shared" si="15"/>
        <v>0</v>
      </c>
      <c r="E60" s="2293"/>
      <c r="F60" s="2291"/>
      <c r="G60" s="2269"/>
      <c r="H60" s="2270">
        <f t="shared" si="19"/>
        <v>2.6000000000000003E-3</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1014</v>
      </c>
      <c r="B61" s="2784" t="s">
        <v>2907</v>
      </c>
      <c r="C61" s="1036"/>
      <c r="D61" s="2271">
        <f t="shared" si="15"/>
        <v>0</v>
      </c>
      <c r="E61" s="2293"/>
      <c r="F61" s="2291"/>
      <c r="G61" s="2269"/>
      <c r="H61" s="2270">
        <f t="shared" si="19"/>
        <v>1.3000000000000002E-3</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1015</v>
      </c>
      <c r="B62" s="2262">
        <f>估价对象房地状况!C24</f>
        <v>0</v>
      </c>
      <c r="C62" s="1036"/>
      <c r="D62" s="2271">
        <f t="shared" si="15"/>
        <v>0</v>
      </c>
      <c r="E62" s="2293"/>
      <c r="F62" s="2291"/>
      <c r="G62" s="2269"/>
      <c r="H62" s="2270">
        <f t="shared" si="19"/>
        <v>1.6250000000000001E-3</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1016</v>
      </c>
      <c r="B63" s="2783" t="s">
        <v>2905</v>
      </c>
      <c r="C63" s="1036"/>
      <c r="D63" s="2271">
        <f t="shared" si="15"/>
        <v>0</v>
      </c>
      <c r="E63" s="2293"/>
      <c r="F63" s="2291"/>
      <c r="G63" s="2269"/>
      <c r="H63" s="2270">
        <f t="shared" si="19"/>
        <v>1.6250000000000001E-3</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1017</v>
      </c>
      <c r="B64" s="2263" t="str">
        <f>估价对象房地状况!C21</f>
        <v>估价对象所在区域公共配套设施齐备情况</v>
      </c>
      <c r="C64" s="1036"/>
      <c r="D64" s="2271">
        <f t="shared" si="15"/>
        <v>0</v>
      </c>
      <c r="E64" s="2293"/>
      <c r="F64" s="2291"/>
      <c r="G64" s="2269"/>
      <c r="H64" s="2270">
        <f t="shared" si="19"/>
        <v>1.9499999999999999E-3</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1018</v>
      </c>
      <c r="B65" s="2263" t="str">
        <f>估价对象房地状况!C22</f>
        <v>估价对象所在区域基础设施水平</v>
      </c>
      <c r="C65" s="1036"/>
      <c r="D65" s="2271">
        <f t="shared" si="15"/>
        <v>0</v>
      </c>
      <c r="E65" s="2293"/>
      <c r="F65" s="2291"/>
      <c r="G65" s="2269"/>
      <c r="H65" s="2270">
        <f t="shared" si="19"/>
        <v>3.8999999999999998E-3</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5" t="s">
        <v>1019</v>
      </c>
      <c r="B66" s="2267" t="str">
        <f>估价对象房地状况!C20</f>
        <v>区域自然环境：；人文环境；综合评价环境状况一般</v>
      </c>
      <c r="C66" s="1036"/>
      <c r="D66" s="2271">
        <f t="shared" si="15"/>
        <v>0</v>
      </c>
      <c r="E66" s="2297"/>
      <c r="F66" s="2291"/>
      <c r="G66" s="2269"/>
      <c r="H66" s="2270">
        <f t="shared" si="19"/>
        <v>1.9499999999999999E-3</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2905</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3" t="s">
        <v>2905</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27" t="s">
        <v>1624</v>
      </c>
      <c r="B90" s="3527"/>
      <c r="C90" s="3527"/>
      <c r="D90" s="3527"/>
      <c r="E90" s="3527"/>
      <c r="F90" s="3527"/>
      <c r="G90" s="3527"/>
      <c r="H90" s="3527"/>
      <c r="I90" s="3527"/>
      <c r="J90" s="3527"/>
      <c r="K90" s="2304"/>
      <c r="L90" s="2304"/>
      <c r="M90" s="2304"/>
      <c r="N90" s="2304"/>
    </row>
    <row r="91" spans="1:40">
      <c r="A91" s="3528" t="s">
        <v>1434</v>
      </c>
      <c r="B91" s="3528" t="s">
        <v>1625</v>
      </c>
      <c r="C91" s="1122" t="s">
        <v>1626</v>
      </c>
      <c r="D91" s="1123"/>
      <c r="E91" s="1123"/>
      <c r="F91" s="1123"/>
      <c r="G91" s="1123"/>
      <c r="H91" s="1123"/>
      <c r="I91" s="1123"/>
      <c r="J91" s="1124"/>
      <c r="K91" s="1116"/>
      <c r="L91" s="1116"/>
      <c r="M91" s="1116"/>
      <c r="N91" s="1116"/>
    </row>
    <row r="92" spans="1:40">
      <c r="A92" s="3528"/>
      <c r="B92" s="3528"/>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11"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1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1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1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1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1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12"/>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13"/>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11" t="s">
        <v>1628</v>
      </c>
      <c r="B101" s="1129" t="s">
        <v>897</v>
      </c>
      <c r="C101" s="1130">
        <f>$G$3</f>
        <v>6</v>
      </c>
      <c r="D101" s="1130">
        <f t="shared" ref="D101:N101" si="31">$G$3</f>
        <v>6</v>
      </c>
      <c r="E101" s="1130">
        <f t="shared" si="31"/>
        <v>6</v>
      </c>
      <c r="F101" s="1130">
        <f t="shared" si="31"/>
        <v>6</v>
      </c>
      <c r="G101" s="1130">
        <f t="shared" si="31"/>
        <v>6</v>
      </c>
      <c r="H101" s="1130">
        <f t="shared" si="31"/>
        <v>6</v>
      </c>
      <c r="I101" s="1130">
        <f t="shared" si="31"/>
        <v>6</v>
      </c>
      <c r="J101" s="1130">
        <f t="shared" si="31"/>
        <v>6</v>
      </c>
      <c r="K101" s="1130">
        <f t="shared" si="31"/>
        <v>6</v>
      </c>
      <c r="L101" s="1130">
        <f t="shared" si="31"/>
        <v>6</v>
      </c>
      <c r="M101" s="1130">
        <f t="shared" si="31"/>
        <v>6</v>
      </c>
      <c r="N101" s="1130">
        <f t="shared" si="31"/>
        <v>6</v>
      </c>
    </row>
    <row r="102" spans="1:14">
      <c r="A102" s="3512"/>
      <c r="B102" s="1125">
        <v>1</v>
      </c>
      <c r="C102" s="1126">
        <f>1.9362/C101</f>
        <v>0.32269999999999999</v>
      </c>
      <c r="D102" s="1126">
        <f>1.9362/D101</f>
        <v>0.32269999999999999</v>
      </c>
      <c r="E102" s="1126">
        <f>1.8629/E101</f>
        <v>0.31048333333333333</v>
      </c>
      <c r="F102" s="1126">
        <f>1.8629/F101</f>
        <v>0.31048333333333333</v>
      </c>
      <c r="G102" s="1126">
        <f>1.8629/G101</f>
        <v>0.31048333333333333</v>
      </c>
      <c r="H102" s="1126">
        <f>1.8629/H101</f>
        <v>0.31048333333333333</v>
      </c>
      <c r="I102" s="1126">
        <f>1.8629/I101</f>
        <v>0.31048333333333333</v>
      </c>
      <c r="J102" s="1126">
        <f>1.942/J101</f>
        <v>0.32366666666666666</v>
      </c>
      <c r="K102" s="1126">
        <f>1.942/K101</f>
        <v>0.32366666666666666</v>
      </c>
      <c r="L102" s="1126">
        <f>1.942/L101</f>
        <v>0.32366666666666666</v>
      </c>
      <c r="M102" s="1126">
        <f>1.942/M101</f>
        <v>0.32366666666666666</v>
      </c>
      <c r="N102" s="1126">
        <f>1.942/N101</f>
        <v>0.32366666666666666</v>
      </c>
    </row>
    <row r="103" spans="1:14">
      <c r="A103" s="3512"/>
      <c r="B103" s="1125">
        <v>2</v>
      </c>
      <c r="C103" s="1126">
        <f>1.4198/C101</f>
        <v>0.23663333333333333</v>
      </c>
      <c r="D103" s="1126">
        <f>1.4198/D101</f>
        <v>0.23663333333333333</v>
      </c>
      <c r="E103" s="1126">
        <f>1.3372/E101</f>
        <v>0.22286666666666666</v>
      </c>
      <c r="F103" s="1126">
        <f>1.3372/F101</f>
        <v>0.22286666666666666</v>
      </c>
      <c r="G103" s="1126">
        <f>1.3372/G101</f>
        <v>0.22286666666666666</v>
      </c>
      <c r="H103" s="1126">
        <f>1.3372/H101</f>
        <v>0.22286666666666666</v>
      </c>
      <c r="I103" s="1126">
        <f>1.3372/I101</f>
        <v>0.22286666666666666</v>
      </c>
      <c r="J103" s="1126">
        <f>1.2799/J101</f>
        <v>0.21331666666666668</v>
      </c>
      <c r="K103" s="1126">
        <f>1.2799/K101</f>
        <v>0.21331666666666668</v>
      </c>
      <c r="L103" s="1126">
        <f>1.2799/L101</f>
        <v>0.21331666666666668</v>
      </c>
      <c r="M103" s="1126">
        <f>1.2799/M101</f>
        <v>0.21331666666666668</v>
      </c>
      <c r="N103" s="1126">
        <f>1.2799/N101</f>
        <v>0.21331666666666668</v>
      </c>
    </row>
    <row r="104" spans="1:14">
      <c r="A104" s="3512"/>
      <c r="B104" s="1125">
        <v>3</v>
      </c>
      <c r="C104" s="1126">
        <f>1.1594/C101</f>
        <v>0.19323333333333334</v>
      </c>
      <c r="D104" s="1126">
        <f>1.1594/D101</f>
        <v>0.19323333333333334</v>
      </c>
      <c r="E104" s="1126">
        <f>1.0788/E101</f>
        <v>0.17979999999999999</v>
      </c>
      <c r="F104" s="1126">
        <f>1.0788/F101</f>
        <v>0.17979999999999999</v>
      </c>
      <c r="G104" s="1126">
        <f>1.0788/G101</f>
        <v>0.17979999999999999</v>
      </c>
      <c r="H104" s="1126">
        <f>1.0788/H101</f>
        <v>0.17979999999999999</v>
      </c>
      <c r="I104" s="1126">
        <f>1.0788/I101</f>
        <v>0.17979999999999999</v>
      </c>
      <c r="J104" s="1126">
        <f>1.0072/J101</f>
        <v>0.16786666666666669</v>
      </c>
      <c r="K104" s="1126">
        <f>1.0072/K101</f>
        <v>0.16786666666666669</v>
      </c>
      <c r="L104" s="1126">
        <f>1.0072/L101</f>
        <v>0.16786666666666669</v>
      </c>
      <c r="M104" s="1126">
        <f>1.0072/M101</f>
        <v>0.16786666666666669</v>
      </c>
      <c r="N104" s="1126">
        <f>1.0072/N101</f>
        <v>0.16786666666666669</v>
      </c>
    </row>
    <row r="105" spans="1:14">
      <c r="A105" s="3512"/>
      <c r="B105" s="1125">
        <v>4</v>
      </c>
      <c r="C105" s="1126">
        <f>0.9622/C101</f>
        <v>0.16036666666666669</v>
      </c>
      <c r="D105" s="1126">
        <f>0.9622/D101</f>
        <v>0.16036666666666669</v>
      </c>
      <c r="E105" s="1126">
        <f>0.8656/E101</f>
        <v>0.14426666666666668</v>
      </c>
      <c r="F105" s="1126">
        <f>0.8656/F101</f>
        <v>0.14426666666666668</v>
      </c>
      <c r="G105" s="1126">
        <f>0.8656/G101</f>
        <v>0.14426666666666668</v>
      </c>
      <c r="H105" s="1126">
        <f>0.8656/H101</f>
        <v>0.14426666666666668</v>
      </c>
      <c r="I105" s="1126">
        <f>0.8656/I101</f>
        <v>0.14426666666666668</v>
      </c>
      <c r="J105" s="1126">
        <f>0.7525/J101</f>
        <v>0.12541666666666665</v>
      </c>
      <c r="K105" s="1126">
        <f>0.7525/K101</f>
        <v>0.12541666666666665</v>
      </c>
      <c r="L105" s="1126">
        <f>0.7525/L101</f>
        <v>0.12541666666666665</v>
      </c>
      <c r="M105" s="1126">
        <f>0.7525/M101</f>
        <v>0.12541666666666665</v>
      </c>
      <c r="N105" s="1126">
        <f>0.7525/N101</f>
        <v>0.12541666666666665</v>
      </c>
    </row>
    <row r="106" spans="1:14">
      <c r="A106" s="3512"/>
      <c r="B106" s="1125">
        <v>5</v>
      </c>
      <c r="C106" s="1126">
        <f>0.8417/C101</f>
        <v>0.14028333333333334</v>
      </c>
      <c r="D106" s="1126">
        <f>0.8417/D101</f>
        <v>0.14028333333333334</v>
      </c>
      <c r="E106" s="1126">
        <f>0.7371/E101</f>
        <v>0.12285</v>
      </c>
      <c r="F106" s="1126">
        <f>0.7371/F101</f>
        <v>0.12285</v>
      </c>
      <c r="G106" s="1126">
        <f>0.7371/G101</f>
        <v>0.12285</v>
      </c>
      <c r="H106" s="1126">
        <f>0.7371/H101</f>
        <v>0.12285</v>
      </c>
      <c r="I106" s="1126">
        <f>0.7371/I101</f>
        <v>0.12285</v>
      </c>
      <c r="J106" s="1126">
        <f>0.5659/J101</f>
        <v>9.431666666666666E-2</v>
      </c>
      <c r="K106" s="1126">
        <f>0.5659/K101</f>
        <v>9.431666666666666E-2</v>
      </c>
      <c r="L106" s="1126">
        <f>0.5659/L101</f>
        <v>9.431666666666666E-2</v>
      </c>
      <c r="M106" s="1126">
        <f>0.5659/M101</f>
        <v>9.431666666666666E-2</v>
      </c>
      <c r="N106" s="1126">
        <f>0.5659/N101</f>
        <v>9.431666666666666E-2</v>
      </c>
    </row>
    <row r="107" spans="1:14">
      <c r="A107" s="3512"/>
      <c r="B107" s="1125">
        <v>6</v>
      </c>
      <c r="C107" s="1126">
        <f>0.7608/C101</f>
        <v>0.1268</v>
      </c>
      <c r="D107" s="1126">
        <f>0.7608/D101</f>
        <v>0.1268</v>
      </c>
      <c r="E107" s="1126">
        <f>0.6482/E101</f>
        <v>0.10803333333333333</v>
      </c>
      <c r="F107" s="1126">
        <f>0.6482/F101</f>
        <v>0.10803333333333333</v>
      </c>
      <c r="G107" s="1126">
        <f>0.6482/G101</f>
        <v>0.10803333333333333</v>
      </c>
      <c r="H107" s="1126">
        <f>0.6482/H101</f>
        <v>0.10803333333333333</v>
      </c>
      <c r="I107" s="1126">
        <f>0.6482/I101</f>
        <v>0.10803333333333333</v>
      </c>
      <c r="J107" s="1126">
        <f>0.4525/J101</f>
        <v>7.5416666666666674E-2</v>
      </c>
      <c r="K107" s="1126">
        <f>0.4525/K101</f>
        <v>7.5416666666666674E-2</v>
      </c>
      <c r="L107" s="1126">
        <f>0.4525/L101</f>
        <v>7.5416666666666674E-2</v>
      </c>
      <c r="M107" s="1126">
        <f>0.4525/M101</f>
        <v>7.5416666666666674E-2</v>
      </c>
      <c r="N107" s="1126">
        <f>0.4525/N101</f>
        <v>7.5416666666666674E-2</v>
      </c>
    </row>
    <row r="108" spans="1:14">
      <c r="A108" s="3512"/>
      <c r="B108" s="3514"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13"/>
      <c r="B109" s="3515"/>
      <c r="C109" s="1128">
        <f>(-0.163*(C108^2)-0.59*C108+7617)*(10^(-4))/C101</f>
        <v>0.12695000000000001</v>
      </c>
      <c r="D109" s="1128">
        <f>(-0.163*(D108^2)-0.59*D108+7617)*(10^(-4))/D101</f>
        <v>0.12695000000000001</v>
      </c>
      <c r="E109" s="1128">
        <f>(-0.161*(E108^2)-7.509*E108+6533)*(10^(-4))/E101</f>
        <v>0.10888333333333333</v>
      </c>
      <c r="F109" s="1128">
        <f>(-0.161*(F108^2)-7.509*F108+6533)*(10^(-4))/F101</f>
        <v>0.10888333333333333</v>
      </c>
      <c r="G109" s="1128">
        <f>(-0.161*(G108^2)-7.509*G108+6533)*(10^(-4))/G101</f>
        <v>0.10888333333333333</v>
      </c>
      <c r="H109" s="1128">
        <f>(-0.161*(H108^2)-7.509*H108+6533)*(10^(-4))/H101</f>
        <v>0.10888333333333333</v>
      </c>
      <c r="I109" s="1128">
        <f>(-0.161*(I108^2)-7.509*I108+6533)*(10^(-4))/I101</f>
        <v>0.10888333333333333</v>
      </c>
      <c r="J109" s="1128">
        <f>(-0.214*(J108^2)-21.991*J108+4665)*(10^(-4))/J101</f>
        <v>7.775E-2</v>
      </c>
      <c r="K109" s="1128">
        <f>(-0.214*(K108^2)-21.991*K108+4665)*(10^(-4))/K101</f>
        <v>7.775E-2</v>
      </c>
      <c r="L109" s="1128">
        <f>(-0.214*(L108^2)-21.991*L108+4665)*(10^(-4))/L101</f>
        <v>7.775E-2</v>
      </c>
      <c r="M109" s="1128">
        <f>(-0.214*(M108^2)-21.991*M108+4665)*(10^(-4))/M101</f>
        <v>7.775E-2</v>
      </c>
      <c r="N109" s="1128">
        <f>(-0.214*(N108^2)-21.991*N108+4665)*(10^(-4))/N101</f>
        <v>7.775E-2</v>
      </c>
    </row>
    <row r="110" spans="1:14">
      <c r="A110" s="3521" t="s">
        <v>1630</v>
      </c>
      <c r="B110" s="3521"/>
      <c r="C110" s="3521"/>
      <c r="D110" s="3521"/>
      <c r="E110" s="3521"/>
      <c r="F110" s="3521"/>
      <c r="G110" s="3521"/>
      <c r="H110" s="3521"/>
      <c r="I110" s="3521"/>
      <c r="J110" s="3521"/>
      <c r="K110" s="2302"/>
      <c r="L110" s="2302"/>
      <c r="M110" s="2302"/>
      <c r="N110" s="2302"/>
    </row>
    <row r="112" spans="1:14" ht="12.75" thickBot="1"/>
    <row r="113" spans="1:13" ht="25.5" thickBot="1">
      <c r="A113" s="1002" t="s">
        <v>887</v>
      </c>
      <c r="B113" s="2305">
        <f>G3</f>
        <v>6</v>
      </c>
      <c r="C113" s="1003" t="s">
        <v>888</v>
      </c>
      <c r="D113" s="1004">
        <f>SUMPRODUCT((A115:A118=F113)*(B114:M114=H113)*B115:M118)</f>
        <v>0.877</v>
      </c>
      <c r="E113" s="1005" t="s">
        <v>889</v>
      </c>
      <c r="F113" s="1006" t="str">
        <f>E2</f>
        <v>办公</v>
      </c>
      <c r="G113" s="1005" t="s">
        <v>890</v>
      </c>
      <c r="H113" s="1006" t="str">
        <f>G2</f>
        <v>二级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0.87709999999999999</v>
      </c>
      <c r="C115" s="1016">
        <f>B115</f>
        <v>0.87709999999999999</v>
      </c>
      <c r="D115" s="1016">
        <f>ROUND(0.8331-0.0109*B113,4)</f>
        <v>0.76770000000000005</v>
      </c>
      <c r="E115" s="1016">
        <f>D115</f>
        <v>0.76770000000000005</v>
      </c>
      <c r="F115" s="1016">
        <f>E115</f>
        <v>0.76770000000000005</v>
      </c>
      <c r="G115" s="1016">
        <f>F115</f>
        <v>0.76770000000000005</v>
      </c>
      <c r="H115" s="1016">
        <f>G115</f>
        <v>0.76770000000000005</v>
      </c>
      <c r="I115" s="1016">
        <f>ROUND(0.689-0.0155*B113,4)</f>
        <v>0.59599999999999997</v>
      </c>
      <c r="J115" s="1016">
        <f t="shared" ref="J115:M118" si="33">I115</f>
        <v>0.59599999999999997</v>
      </c>
      <c r="K115" s="1016">
        <f t="shared" si="33"/>
        <v>0.59599999999999997</v>
      </c>
      <c r="L115" s="1016">
        <f t="shared" si="33"/>
        <v>0.59599999999999997</v>
      </c>
      <c r="M115" s="1017">
        <f t="shared" si="33"/>
        <v>0.59599999999999997</v>
      </c>
    </row>
    <row r="116" spans="1:13" ht="12.75">
      <c r="A116" s="1015" t="s">
        <v>892</v>
      </c>
      <c r="B116" s="1016">
        <f>ROUND(0.949-0.012*B113,4)</f>
        <v>0.877</v>
      </c>
      <c r="C116" s="1016">
        <f>B116</f>
        <v>0.877</v>
      </c>
      <c r="D116" s="1016">
        <f>ROUND(0.8567-0.013*B113,4)</f>
        <v>0.77869999999999995</v>
      </c>
      <c r="E116" s="1016">
        <f t="shared" ref="E116:H117" si="34">D116</f>
        <v>0.77869999999999995</v>
      </c>
      <c r="F116" s="1016">
        <f t="shared" si="34"/>
        <v>0.77869999999999995</v>
      </c>
      <c r="G116" s="1016">
        <f t="shared" si="34"/>
        <v>0.77869999999999995</v>
      </c>
      <c r="H116" s="1016">
        <f t="shared" si="34"/>
        <v>0.77869999999999995</v>
      </c>
      <c r="I116" s="1016">
        <f>ROUND(0.7694-0.014*B113,4)</f>
        <v>0.68540000000000001</v>
      </c>
      <c r="J116" s="1016">
        <f t="shared" si="33"/>
        <v>0.68540000000000001</v>
      </c>
      <c r="K116" s="1016">
        <f t="shared" si="33"/>
        <v>0.68540000000000001</v>
      </c>
      <c r="L116" s="1016">
        <f t="shared" si="33"/>
        <v>0.68540000000000001</v>
      </c>
      <c r="M116" s="1017">
        <f t="shared" si="33"/>
        <v>0.68540000000000001</v>
      </c>
    </row>
    <row r="117" spans="1:13" ht="12.75">
      <c r="A117" s="1018" t="s">
        <v>893</v>
      </c>
      <c r="B117" s="1016">
        <f>ROUND(0.8808-0.006*B113,4)</f>
        <v>0.8448</v>
      </c>
      <c r="C117" s="1016">
        <f>B117</f>
        <v>0.8448</v>
      </c>
      <c r="D117" s="1016">
        <f>ROUND(0.8748-0.008*B113,4)</f>
        <v>0.82679999999999998</v>
      </c>
      <c r="E117" s="1016">
        <f t="shared" si="34"/>
        <v>0.82679999999999998</v>
      </c>
      <c r="F117" s="1016">
        <f t="shared" si="34"/>
        <v>0.82679999999999998</v>
      </c>
      <c r="G117" s="1016">
        <f t="shared" si="34"/>
        <v>0.82679999999999998</v>
      </c>
      <c r="H117" s="1016">
        <f t="shared" si="34"/>
        <v>0.82679999999999998</v>
      </c>
      <c r="I117" s="1016">
        <f>ROUND(0.7412-0.0095*B113,4)</f>
        <v>0.68420000000000003</v>
      </c>
      <c r="J117" s="1016">
        <f t="shared" si="33"/>
        <v>0.68420000000000003</v>
      </c>
      <c r="K117" s="1016">
        <f t="shared" si="33"/>
        <v>0.68420000000000003</v>
      </c>
      <c r="L117" s="1016">
        <f t="shared" si="33"/>
        <v>0.68420000000000003</v>
      </c>
      <c r="M117" s="1017">
        <f t="shared" si="33"/>
        <v>0.68420000000000003</v>
      </c>
    </row>
    <row r="118" spans="1:13" ht="13.5" thickBot="1">
      <c r="A118" s="1019" t="s">
        <v>894</v>
      </c>
      <c r="B118" s="1020">
        <f>ROUND(0.7275-0.01*B113,4)</f>
        <v>0.66749999999999998</v>
      </c>
      <c r="C118" s="1020">
        <f>B118</f>
        <v>0.66749999999999998</v>
      </c>
      <c r="D118" s="1020">
        <f>ROUND(0.7043-0.012*B113,4)</f>
        <v>0.63229999999999997</v>
      </c>
      <c r="E118" s="1020">
        <f>D118</f>
        <v>0.63229999999999997</v>
      </c>
      <c r="F118" s="1020">
        <f>E118</f>
        <v>0.63229999999999997</v>
      </c>
      <c r="G118" s="1020">
        <f>ROUND(0.6299-0.0122*B113,4)</f>
        <v>0.55669999999999997</v>
      </c>
      <c r="H118" s="1020">
        <f>G118</f>
        <v>0.55669999999999997</v>
      </c>
      <c r="I118" s="1020">
        <f>ROUND(0.5667-0.0136*B113,4)</f>
        <v>0.48509999999999998</v>
      </c>
      <c r="J118" s="1020">
        <f t="shared" si="33"/>
        <v>0.48509999999999998</v>
      </c>
      <c r="K118" s="1020">
        <f t="shared" si="33"/>
        <v>0.48509999999999998</v>
      </c>
      <c r="L118" s="1020">
        <f t="shared" si="33"/>
        <v>0.48509999999999998</v>
      </c>
      <c r="M118" s="1021">
        <f t="shared" si="33"/>
        <v>0.48509999999999998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28" t="s">
        <v>998</v>
      </c>
      <c r="B18" s="1136" t="s">
        <v>1437</v>
      </c>
      <c r="C18" s="1113" t="s">
        <v>1438</v>
      </c>
      <c r="D18" s="1114"/>
      <c r="E18" s="1136">
        <v>1</v>
      </c>
      <c r="F18" s="1115" t="s">
        <v>1439</v>
      </c>
      <c r="G18" s="1116"/>
      <c r="H18" s="1087"/>
      <c r="I18" s="1087"/>
    </row>
    <row r="19" spans="1:9" s="1529" customFormat="1" ht="19.5" customHeight="1">
      <c r="A19" s="3528"/>
      <c r="B19" s="3528" t="s">
        <v>1440</v>
      </c>
      <c r="C19" s="1113" t="s">
        <v>1441</v>
      </c>
      <c r="D19" s="1114"/>
      <c r="E19" s="1136">
        <v>0.9</v>
      </c>
      <c r="F19" s="1115" t="s">
        <v>1442</v>
      </c>
      <c r="G19" s="1116"/>
      <c r="H19" s="1087"/>
      <c r="I19" s="1087"/>
    </row>
    <row r="20" spans="1:9" s="1529" customFormat="1" ht="19.5" customHeight="1">
      <c r="A20" s="3528"/>
      <c r="B20" s="3528"/>
      <c r="C20" s="1113" t="s">
        <v>1443</v>
      </c>
      <c r="D20" s="1114"/>
      <c r="E20" s="1136">
        <v>1.1000000000000001</v>
      </c>
      <c r="F20" s="1115" t="s">
        <v>1444</v>
      </c>
      <c r="G20" s="1116"/>
      <c r="H20" s="1087"/>
      <c r="I20" s="1087"/>
    </row>
    <row r="21" spans="1:9" s="1529" customFormat="1" ht="19.5" customHeight="1">
      <c r="A21" s="3528"/>
      <c r="B21" s="3528"/>
      <c r="C21" s="1113" t="s">
        <v>1445</v>
      </c>
      <c r="D21" s="1114"/>
      <c r="E21" s="1136">
        <v>0.8</v>
      </c>
      <c r="F21" s="1115" t="s">
        <v>1446</v>
      </c>
      <c r="G21" s="1116"/>
      <c r="H21" s="1087"/>
      <c r="I21" s="1087"/>
    </row>
    <row r="22" spans="1:9" s="1529" customFormat="1" ht="19.5" customHeight="1">
      <c r="A22" s="3528"/>
      <c r="B22" s="3528"/>
      <c r="C22" s="1113" t="s">
        <v>1447</v>
      </c>
      <c r="D22" s="1114"/>
      <c r="E22" s="1136">
        <v>0.5</v>
      </c>
      <c r="F22" s="1115"/>
      <c r="G22" s="1116"/>
      <c r="H22" s="1087"/>
      <c r="I22" s="1087"/>
    </row>
    <row r="23" spans="1:9" s="1529" customFormat="1" ht="19.5" customHeight="1">
      <c r="A23" s="3528" t="s">
        <v>1020</v>
      </c>
      <c r="B23" s="1136" t="s">
        <v>1437</v>
      </c>
      <c r="C23" s="1113" t="s">
        <v>1448</v>
      </c>
      <c r="D23" s="1114"/>
      <c r="E23" s="1136">
        <v>1</v>
      </c>
      <c r="F23" s="1115" t="s">
        <v>1449</v>
      </c>
      <c r="G23" s="1116"/>
      <c r="H23" s="1087"/>
      <c r="I23" s="1087"/>
    </row>
    <row r="24" spans="1:9" s="1529" customFormat="1" ht="19.5" customHeight="1">
      <c r="A24" s="3528"/>
      <c r="B24" s="3528" t="s">
        <v>1440</v>
      </c>
      <c r="C24" s="1113" t="s">
        <v>1450</v>
      </c>
      <c r="D24" s="1114"/>
      <c r="E24" s="1136">
        <v>0.5</v>
      </c>
      <c r="F24" s="1115"/>
      <c r="G24" s="1116"/>
      <c r="H24" s="1087"/>
      <c r="I24" s="1087"/>
    </row>
    <row r="25" spans="1:9" s="1529" customFormat="1" ht="19.5" customHeight="1">
      <c r="A25" s="3528"/>
      <c r="B25" s="3528"/>
      <c r="C25" s="1113" t="s">
        <v>1451</v>
      </c>
      <c r="D25" s="1114"/>
      <c r="E25" s="1136">
        <v>1.1000000000000001</v>
      </c>
      <c r="F25" s="1115"/>
      <c r="G25" s="1116"/>
      <c r="H25" s="1087"/>
      <c r="I25" s="1087"/>
    </row>
    <row r="26" spans="1:9" s="1529" customFormat="1" ht="19.5" customHeight="1">
      <c r="A26" s="3528"/>
      <c r="B26" s="3528"/>
      <c r="C26" s="1113" t="s">
        <v>1452</v>
      </c>
      <c r="D26" s="1114"/>
      <c r="E26" s="1136">
        <v>1.1000000000000001</v>
      </c>
      <c r="F26" s="1115"/>
      <c r="G26" s="1116"/>
      <c r="H26" s="1087"/>
      <c r="I26" s="1087"/>
    </row>
    <row r="27" spans="1:9" s="1529" customFormat="1" ht="19.5" customHeight="1">
      <c r="A27" s="3528"/>
      <c r="B27" s="3528"/>
      <c r="C27" s="1113" t="s">
        <v>1453</v>
      </c>
      <c r="D27" s="1114"/>
      <c r="E27" s="1136">
        <v>0.9</v>
      </c>
      <c r="F27" s="1115" t="s">
        <v>1454</v>
      </c>
      <c r="G27" s="1116"/>
      <c r="H27" s="1087"/>
      <c r="I27" s="1087"/>
    </row>
    <row r="28" spans="1:9" s="1529" customFormat="1" ht="19.5" customHeight="1">
      <c r="A28" s="3528"/>
      <c r="B28" s="3528"/>
      <c r="C28" s="1113" t="s">
        <v>1455</v>
      </c>
      <c r="D28" s="1114"/>
      <c r="E28" s="1136">
        <v>0.9</v>
      </c>
      <c r="F28" s="1115" t="s">
        <v>1456</v>
      </c>
      <c r="G28" s="1116"/>
      <c r="H28" s="1087"/>
      <c r="I28" s="1087"/>
    </row>
    <row r="29" spans="1:9" s="1529" customFormat="1" ht="19.5" customHeight="1">
      <c r="A29" s="3528"/>
      <c r="B29" s="3528"/>
      <c r="C29" s="1113" t="s">
        <v>1457</v>
      </c>
      <c r="D29" s="1114"/>
      <c r="E29" s="1136">
        <v>0.9</v>
      </c>
      <c r="F29" s="1115" t="s">
        <v>1458</v>
      </c>
      <c r="G29" s="1116"/>
      <c r="H29" s="1087"/>
      <c r="I29" s="1087"/>
    </row>
    <row r="30" spans="1:9" s="1529" customFormat="1" ht="19.5" customHeight="1">
      <c r="A30" s="3528"/>
      <c r="B30" s="3528"/>
      <c r="C30" s="1113" t="s">
        <v>1459</v>
      </c>
      <c r="D30" s="1114"/>
      <c r="E30" s="1136">
        <v>0.9</v>
      </c>
      <c r="F30" s="1115" t="s">
        <v>1460</v>
      </c>
      <c r="G30" s="1116"/>
      <c r="H30" s="1087"/>
      <c r="I30" s="1087"/>
    </row>
    <row r="31" spans="1:9" s="1529" customFormat="1" ht="19.5" customHeight="1">
      <c r="A31" s="3528"/>
      <c r="B31" s="3528"/>
      <c r="C31" s="1113" t="s">
        <v>1461</v>
      </c>
      <c r="D31" s="1114"/>
      <c r="E31" s="1136">
        <v>0.8</v>
      </c>
      <c r="F31" s="1115" t="s">
        <v>1462</v>
      </c>
      <c r="G31" s="1116"/>
      <c r="H31" s="1087"/>
      <c r="I31" s="1087"/>
    </row>
    <row r="32" spans="1:9" s="1529" customFormat="1" ht="19.5" customHeight="1">
      <c r="A32" s="3528"/>
      <c r="B32" s="3528"/>
      <c r="C32" s="1113" t="s">
        <v>1463</v>
      </c>
      <c r="D32" s="1114"/>
      <c r="E32" s="1136">
        <v>0.8</v>
      </c>
      <c r="F32" s="1115" t="s">
        <v>1464</v>
      </c>
      <c r="G32" s="1116"/>
      <c r="H32" s="1087"/>
      <c r="I32" s="1087"/>
    </row>
    <row r="33" spans="1:9" s="1529" customFormat="1" ht="19.5" customHeight="1">
      <c r="A33" s="3528" t="s">
        <v>1465</v>
      </c>
      <c r="B33" s="1136" t="s">
        <v>1437</v>
      </c>
      <c r="C33" s="1113" t="s">
        <v>1466</v>
      </c>
      <c r="D33" s="1114"/>
      <c r="E33" s="1136">
        <v>1</v>
      </c>
      <c r="F33" s="1115" t="s">
        <v>1467</v>
      </c>
      <c r="G33" s="1116"/>
      <c r="H33" s="1087"/>
      <c r="I33" s="1087"/>
    </row>
    <row r="34" spans="1:9" s="1529" customFormat="1" ht="19.5" customHeight="1">
      <c r="A34" s="3528"/>
      <c r="B34" s="1136" t="s">
        <v>1440</v>
      </c>
      <c r="C34" s="1113" t="s">
        <v>1468</v>
      </c>
      <c r="D34" s="1114"/>
      <c r="E34" s="1136">
        <v>1.5</v>
      </c>
      <c r="F34" s="1115" t="s">
        <v>1469</v>
      </c>
      <c r="G34" s="1116"/>
      <c r="H34" s="1087"/>
      <c r="I34" s="1087"/>
    </row>
    <row r="35" spans="1:9" s="1529" customFormat="1" ht="19.5" customHeight="1">
      <c r="A35" s="3528" t="s">
        <v>1423</v>
      </c>
      <c r="B35" s="1136" t="s">
        <v>1437</v>
      </c>
      <c r="C35" s="1113" t="s">
        <v>1470</v>
      </c>
      <c r="D35" s="1114"/>
      <c r="E35" s="1136">
        <v>1</v>
      </c>
      <c r="F35" s="1115" t="s">
        <v>1471</v>
      </c>
      <c r="G35" s="1116"/>
      <c r="H35" s="1087"/>
      <c r="I35" s="1087"/>
    </row>
    <row r="36" spans="1:9" s="1529" customFormat="1" ht="19.5" customHeight="1">
      <c r="A36" s="3528"/>
      <c r="B36" s="3528" t="s">
        <v>1440</v>
      </c>
      <c r="C36" s="1113" t="s">
        <v>1472</v>
      </c>
      <c r="D36" s="1114"/>
      <c r="E36" s="1136">
        <v>1</v>
      </c>
      <c r="F36" s="1115" t="s">
        <v>1473</v>
      </c>
      <c r="G36" s="1116"/>
      <c r="H36" s="1087"/>
      <c r="I36" s="1087"/>
    </row>
    <row r="37" spans="1:9" s="1529" customFormat="1" ht="19.5" customHeight="1">
      <c r="A37" s="3528"/>
      <c r="B37" s="3528"/>
      <c r="C37" s="1113" t="s">
        <v>1474</v>
      </c>
      <c r="D37" s="1114"/>
      <c r="E37" s="1136">
        <v>1.5</v>
      </c>
      <c r="F37" s="1115" t="s">
        <v>1475</v>
      </c>
      <c r="G37" s="1116"/>
      <c r="H37" s="1087"/>
      <c r="I37" s="1087"/>
    </row>
    <row r="38" spans="1:9" s="1529" customFormat="1" ht="19.5" customHeight="1">
      <c r="A38" s="3528"/>
      <c r="B38" s="3528"/>
      <c r="C38" s="1113" t="s">
        <v>1476</v>
      </c>
      <c r="D38" s="1114"/>
      <c r="E38" s="1136">
        <v>1</v>
      </c>
      <c r="F38" s="1115" t="s">
        <v>1477</v>
      </c>
      <c r="G38" s="1116"/>
      <c r="H38" s="1087"/>
      <c r="I38" s="1087"/>
    </row>
    <row r="39" spans="1:9" s="1529" customFormat="1" ht="19.5" customHeight="1">
      <c r="A39" s="3528"/>
      <c r="B39" s="352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28" t="s">
        <v>1492</v>
      </c>
      <c r="C61" s="1050" t="s">
        <v>1493</v>
      </c>
      <c r="D61" s="1050" t="s">
        <v>1494</v>
      </c>
      <c r="E61" s="1121">
        <v>0.5</v>
      </c>
      <c r="F61" s="1136">
        <v>80</v>
      </c>
      <c r="H61" s="1087">
        <f>SUMIF(C59:C119,基准地价!C8,E59:E119)</f>
        <v>0</v>
      </c>
    </row>
    <row r="62" spans="1:8" s="1087" customFormat="1" ht="24">
      <c r="A62" s="1136">
        <v>2</v>
      </c>
      <c r="B62" s="3528"/>
      <c r="C62" s="1050" t="s">
        <v>1495</v>
      </c>
      <c r="D62" s="1050" t="s">
        <v>1496</v>
      </c>
      <c r="E62" s="1121">
        <v>0.5</v>
      </c>
      <c r="F62" s="1136">
        <v>80</v>
      </c>
    </row>
    <row r="63" spans="1:8" s="1087" customFormat="1" ht="36">
      <c r="A63" s="1136">
        <v>3</v>
      </c>
      <c r="B63" s="3528"/>
      <c r="C63" s="1050" t="s">
        <v>1497</v>
      </c>
      <c r="D63" s="1050" t="s">
        <v>1498</v>
      </c>
      <c r="E63" s="1121">
        <v>0.5</v>
      </c>
      <c r="F63" s="1136">
        <v>80</v>
      </c>
    </row>
    <row r="64" spans="1:8" s="1087" customFormat="1" ht="36">
      <c r="A64" s="1136">
        <v>4</v>
      </c>
      <c r="B64" s="3528"/>
      <c r="C64" s="1050" t="s">
        <v>1499</v>
      </c>
      <c r="D64" s="1050" t="s">
        <v>1500</v>
      </c>
      <c r="E64" s="1121">
        <v>0.4</v>
      </c>
      <c r="F64" s="1136">
        <v>60</v>
      </c>
    </row>
    <row r="65" spans="1:6" s="1087" customFormat="1" ht="36">
      <c r="A65" s="1136">
        <v>5</v>
      </c>
      <c r="B65" s="3528"/>
      <c r="C65" s="1050" t="s">
        <v>1501</v>
      </c>
      <c r="D65" s="1050" t="s">
        <v>1502</v>
      </c>
      <c r="E65" s="1121">
        <v>0.2</v>
      </c>
      <c r="F65" s="1136">
        <v>30</v>
      </c>
    </row>
    <row r="66" spans="1:6" s="1087" customFormat="1" ht="36">
      <c r="A66" s="1136">
        <v>6</v>
      </c>
      <c r="B66" s="3528"/>
      <c r="C66" s="1050" t="s">
        <v>1503</v>
      </c>
      <c r="D66" s="1050" t="s">
        <v>1504</v>
      </c>
      <c r="E66" s="1121">
        <v>0.3</v>
      </c>
      <c r="F66" s="1136">
        <v>50</v>
      </c>
    </row>
    <row r="67" spans="1:6" s="1087" customFormat="1" ht="36">
      <c r="A67" s="1136">
        <v>7</v>
      </c>
      <c r="B67" s="3528"/>
      <c r="C67" s="1050" t="s">
        <v>1505</v>
      </c>
      <c r="D67" s="1050" t="s">
        <v>1506</v>
      </c>
      <c r="E67" s="1121">
        <v>0.2</v>
      </c>
      <c r="F67" s="1136">
        <v>30</v>
      </c>
    </row>
    <row r="68" spans="1:6" s="1087" customFormat="1" ht="36">
      <c r="A68" s="1136">
        <v>8</v>
      </c>
      <c r="B68" s="3528"/>
      <c r="C68" s="1050" t="s">
        <v>1507</v>
      </c>
      <c r="D68" s="1050" t="s">
        <v>1508</v>
      </c>
      <c r="E68" s="1121">
        <v>0.2</v>
      </c>
      <c r="F68" s="1136">
        <v>30</v>
      </c>
    </row>
    <row r="69" spans="1:6" s="1087" customFormat="1" ht="36">
      <c r="A69" s="1136">
        <v>9</v>
      </c>
      <c r="B69" s="3528"/>
      <c r="C69" s="1050" t="s">
        <v>1509</v>
      </c>
      <c r="D69" s="1050" t="s">
        <v>1510</v>
      </c>
      <c r="E69" s="1121">
        <v>0.2</v>
      </c>
      <c r="F69" s="1136">
        <v>30</v>
      </c>
    </row>
    <row r="70" spans="1:6" s="1087" customFormat="1" ht="48">
      <c r="A70" s="1136">
        <v>10</v>
      </c>
      <c r="B70" s="3528"/>
      <c r="C70" s="1050" t="s">
        <v>1511</v>
      </c>
      <c r="D70" s="1050" t="s">
        <v>1512</v>
      </c>
      <c r="E70" s="1121">
        <v>0.2</v>
      </c>
      <c r="F70" s="1136">
        <v>30</v>
      </c>
    </row>
    <row r="71" spans="1:6" s="1087" customFormat="1" ht="48">
      <c r="A71" s="1136">
        <v>11</v>
      </c>
      <c r="B71" s="3528"/>
      <c r="C71" s="1050" t="s">
        <v>1513</v>
      </c>
      <c r="D71" s="1050" t="s">
        <v>1514</v>
      </c>
      <c r="E71" s="1121">
        <v>0.2</v>
      </c>
      <c r="F71" s="1136">
        <v>30</v>
      </c>
    </row>
    <row r="72" spans="1:6" s="1087" customFormat="1" ht="36">
      <c r="A72" s="1136">
        <v>12</v>
      </c>
      <c r="B72" s="3528"/>
      <c r="C72" s="1050" t="s">
        <v>1515</v>
      </c>
      <c r="D72" s="1050" t="s">
        <v>1516</v>
      </c>
      <c r="E72" s="1121">
        <v>0.5</v>
      </c>
      <c r="F72" s="1136">
        <v>80</v>
      </c>
    </row>
    <row r="73" spans="1:6" s="1087" customFormat="1" ht="24">
      <c r="A73" s="1136">
        <v>13</v>
      </c>
      <c r="B73" s="3528"/>
      <c r="C73" s="1050" t="s">
        <v>1517</v>
      </c>
      <c r="D73" s="1050" t="s">
        <v>1518</v>
      </c>
      <c r="E73" s="1121">
        <v>0.4</v>
      </c>
      <c r="F73" s="1136">
        <v>60</v>
      </c>
    </row>
    <row r="74" spans="1:6" s="1087" customFormat="1" ht="24">
      <c r="A74" s="1136">
        <v>14</v>
      </c>
      <c r="B74" s="3528"/>
      <c r="C74" s="1050" t="s">
        <v>1519</v>
      </c>
      <c r="D74" s="1050" t="s">
        <v>1520</v>
      </c>
      <c r="E74" s="1121">
        <v>0.2</v>
      </c>
      <c r="F74" s="1136">
        <v>30</v>
      </c>
    </row>
    <row r="75" spans="1:6" s="1087" customFormat="1" ht="24">
      <c r="A75" s="1136">
        <v>15</v>
      </c>
      <c r="B75" s="3528"/>
      <c r="C75" s="1050" t="s">
        <v>1521</v>
      </c>
      <c r="D75" s="1050" t="s">
        <v>1522</v>
      </c>
      <c r="E75" s="1121">
        <v>0.2</v>
      </c>
      <c r="F75" s="1136">
        <v>30</v>
      </c>
    </row>
    <row r="76" spans="1:6" s="1087" customFormat="1" ht="24">
      <c r="A76" s="1136">
        <v>16</v>
      </c>
      <c r="B76" s="3528" t="s">
        <v>1523</v>
      </c>
      <c r="C76" s="1050" t="s">
        <v>1524</v>
      </c>
      <c r="D76" s="1050" t="s">
        <v>1525</v>
      </c>
      <c r="E76" s="1121">
        <v>0.5</v>
      </c>
      <c r="F76" s="1136">
        <v>80</v>
      </c>
    </row>
    <row r="77" spans="1:6" s="1087" customFormat="1" ht="24">
      <c r="A77" s="1136">
        <v>17</v>
      </c>
      <c r="B77" s="3528"/>
      <c r="C77" s="1050" t="s">
        <v>1526</v>
      </c>
      <c r="D77" s="1050" t="s">
        <v>1527</v>
      </c>
      <c r="E77" s="1121">
        <v>0.5</v>
      </c>
      <c r="F77" s="1136">
        <v>80</v>
      </c>
    </row>
    <row r="78" spans="1:6" s="1087" customFormat="1" ht="24">
      <c r="A78" s="1136">
        <v>18</v>
      </c>
      <c r="B78" s="3528"/>
      <c r="C78" s="1050" t="s">
        <v>1528</v>
      </c>
      <c r="D78" s="1050" t="s">
        <v>1529</v>
      </c>
      <c r="E78" s="1121">
        <v>0.2</v>
      </c>
      <c r="F78" s="1136">
        <v>30</v>
      </c>
    </row>
    <row r="79" spans="1:6" s="1087" customFormat="1" ht="24">
      <c r="A79" s="1136">
        <v>19</v>
      </c>
      <c r="B79" s="3528"/>
      <c r="C79" s="1050" t="s">
        <v>1530</v>
      </c>
      <c r="D79" s="1050" t="s">
        <v>1531</v>
      </c>
      <c r="E79" s="1121">
        <v>0.5</v>
      </c>
      <c r="F79" s="1136">
        <v>80</v>
      </c>
    </row>
    <row r="80" spans="1:6" s="1087" customFormat="1" ht="36">
      <c r="A80" s="1136">
        <v>20</v>
      </c>
      <c r="B80" s="3528"/>
      <c r="C80" s="1050" t="s">
        <v>1532</v>
      </c>
      <c r="D80" s="1050" t="s">
        <v>1533</v>
      </c>
      <c r="E80" s="1121">
        <v>0.2</v>
      </c>
      <c r="F80" s="1136">
        <v>30</v>
      </c>
    </row>
    <row r="81" spans="1:6" s="1087" customFormat="1" ht="36">
      <c r="A81" s="1136">
        <v>21</v>
      </c>
      <c r="B81" s="3528"/>
      <c r="C81" s="1050" t="s">
        <v>1534</v>
      </c>
      <c r="D81" s="1050" t="s">
        <v>1535</v>
      </c>
      <c r="E81" s="1121">
        <v>0.2</v>
      </c>
      <c r="F81" s="1136">
        <v>30</v>
      </c>
    </row>
    <row r="82" spans="1:6" s="1087" customFormat="1" ht="48">
      <c r="A82" s="1136">
        <v>22</v>
      </c>
      <c r="B82" s="3528"/>
      <c r="C82" s="1050" t="s">
        <v>1536</v>
      </c>
      <c r="D82" s="1050" t="s">
        <v>1537</v>
      </c>
      <c r="E82" s="1121">
        <v>0.2</v>
      </c>
      <c r="F82" s="1136">
        <v>30</v>
      </c>
    </row>
    <row r="83" spans="1:6" s="1087" customFormat="1" ht="48">
      <c r="A83" s="1136">
        <v>23</v>
      </c>
      <c r="B83" s="3528"/>
      <c r="C83" s="1050" t="s">
        <v>1538</v>
      </c>
      <c r="D83" s="1050" t="s">
        <v>1539</v>
      </c>
      <c r="E83" s="1121">
        <v>0.2</v>
      </c>
      <c r="F83" s="1136">
        <v>30</v>
      </c>
    </row>
    <row r="84" spans="1:6" s="1087" customFormat="1" ht="36">
      <c r="A84" s="1136">
        <v>24</v>
      </c>
      <c r="B84" s="3528"/>
      <c r="C84" s="1050" t="s">
        <v>1540</v>
      </c>
      <c r="D84" s="1050" t="s">
        <v>1541</v>
      </c>
      <c r="E84" s="1121">
        <v>0.2</v>
      </c>
      <c r="F84" s="1136">
        <v>30</v>
      </c>
    </row>
    <row r="85" spans="1:6" s="1087" customFormat="1" ht="36">
      <c r="A85" s="1136">
        <v>25</v>
      </c>
      <c r="B85" s="3528"/>
      <c r="C85" s="1050" t="s">
        <v>1542</v>
      </c>
      <c r="D85" s="1050" t="s">
        <v>1543</v>
      </c>
      <c r="E85" s="1121">
        <v>0.5</v>
      </c>
      <c r="F85" s="1136">
        <v>80</v>
      </c>
    </row>
    <row r="86" spans="1:6" s="1087" customFormat="1" ht="36">
      <c r="A86" s="1136">
        <v>26</v>
      </c>
      <c r="B86" s="3528"/>
      <c r="C86" s="1050" t="s">
        <v>1544</v>
      </c>
      <c r="D86" s="1050" t="s">
        <v>1545</v>
      </c>
      <c r="E86" s="1121">
        <v>0.2</v>
      </c>
      <c r="F86" s="1136">
        <v>30</v>
      </c>
    </row>
    <row r="87" spans="1:6" s="1087" customFormat="1" ht="36">
      <c r="A87" s="1136">
        <v>27</v>
      </c>
      <c r="B87" s="3528"/>
      <c r="C87" s="1050" t="s">
        <v>1546</v>
      </c>
      <c r="D87" s="1050" t="s">
        <v>1547</v>
      </c>
      <c r="E87" s="1121">
        <v>0.2</v>
      </c>
      <c r="F87" s="1136">
        <v>30</v>
      </c>
    </row>
    <row r="88" spans="1:6" s="1087" customFormat="1" ht="36">
      <c r="A88" s="1136">
        <v>28</v>
      </c>
      <c r="B88" s="3528"/>
      <c r="C88" s="1050" t="s">
        <v>1548</v>
      </c>
      <c r="D88" s="1050" t="s">
        <v>1549</v>
      </c>
      <c r="E88" s="1121">
        <v>0.2</v>
      </c>
      <c r="F88" s="1136">
        <v>30</v>
      </c>
    </row>
    <row r="89" spans="1:6" s="1087" customFormat="1" ht="24">
      <c r="A89" s="1136">
        <v>29</v>
      </c>
      <c r="B89" s="3528"/>
      <c r="C89" s="1050" t="s">
        <v>1550</v>
      </c>
      <c r="D89" s="1050" t="s">
        <v>1551</v>
      </c>
      <c r="E89" s="1121">
        <v>0.2</v>
      </c>
      <c r="F89" s="1136">
        <v>30</v>
      </c>
    </row>
    <row r="90" spans="1:6" s="1087" customFormat="1" ht="24">
      <c r="A90" s="1136">
        <v>30</v>
      </c>
      <c r="B90" s="3528"/>
      <c r="C90" s="1050" t="s">
        <v>1552</v>
      </c>
      <c r="D90" s="1050" t="s">
        <v>1553</v>
      </c>
      <c r="E90" s="1121">
        <v>0.2</v>
      </c>
      <c r="F90" s="1136">
        <v>30</v>
      </c>
    </row>
    <row r="91" spans="1:6" s="1087" customFormat="1" ht="36">
      <c r="A91" s="1136">
        <v>31</v>
      </c>
      <c r="B91" s="3528"/>
      <c r="C91" s="1050" t="s">
        <v>1554</v>
      </c>
      <c r="D91" s="1050" t="s">
        <v>1555</v>
      </c>
      <c r="E91" s="1121">
        <v>0.2</v>
      </c>
      <c r="F91" s="1136">
        <v>30</v>
      </c>
    </row>
    <row r="92" spans="1:6" s="1087" customFormat="1" ht="24">
      <c r="A92" s="1136">
        <v>32</v>
      </c>
      <c r="B92" s="3528" t="s">
        <v>1556</v>
      </c>
      <c r="C92" s="1136" t="s">
        <v>1557</v>
      </c>
      <c r="D92" s="1050" t="s">
        <v>1558</v>
      </c>
      <c r="E92" s="1121">
        <v>0.2</v>
      </c>
      <c r="F92" s="1136">
        <v>30</v>
      </c>
    </row>
    <row r="93" spans="1:6" s="1087" customFormat="1" ht="36">
      <c r="A93" s="1136">
        <v>33</v>
      </c>
      <c r="B93" s="3528"/>
      <c r="C93" s="1136" t="s">
        <v>1559</v>
      </c>
      <c r="D93" s="1050" t="s">
        <v>1560</v>
      </c>
      <c r="E93" s="1121">
        <v>0.2</v>
      </c>
      <c r="F93" s="1136">
        <v>30</v>
      </c>
    </row>
    <row r="94" spans="1:6" s="1087" customFormat="1" ht="48">
      <c r="A94" s="1136">
        <v>34</v>
      </c>
      <c r="B94" s="3528"/>
      <c r="C94" s="1136" t="s">
        <v>1561</v>
      </c>
      <c r="D94" s="1050" t="s">
        <v>1562</v>
      </c>
      <c r="E94" s="1121">
        <v>0.2</v>
      </c>
      <c r="F94" s="1136">
        <v>30</v>
      </c>
    </row>
    <row r="95" spans="1:6" s="1087" customFormat="1" ht="36">
      <c r="A95" s="1136">
        <v>35</v>
      </c>
      <c r="B95" s="3528"/>
      <c r="C95" s="1136" t="s">
        <v>1563</v>
      </c>
      <c r="D95" s="1050" t="s">
        <v>1564</v>
      </c>
      <c r="E95" s="1121">
        <v>0.2</v>
      </c>
      <c r="F95" s="1136">
        <v>30</v>
      </c>
    </row>
    <row r="96" spans="1:6" s="1087" customFormat="1" ht="48">
      <c r="A96" s="1136">
        <v>36</v>
      </c>
      <c r="B96" s="3528"/>
      <c r="C96" s="1050" t="s">
        <v>1565</v>
      </c>
      <c r="D96" s="1050" t="s">
        <v>1566</v>
      </c>
      <c r="E96" s="1121">
        <v>0.2</v>
      </c>
      <c r="F96" s="1136">
        <v>30</v>
      </c>
    </row>
    <row r="97" spans="1:6" s="1087" customFormat="1" ht="36">
      <c r="A97" s="1136">
        <v>37</v>
      </c>
      <c r="B97" s="3528"/>
      <c r="C97" s="1136" t="s">
        <v>1567</v>
      </c>
      <c r="D97" s="1050" t="s">
        <v>1568</v>
      </c>
      <c r="E97" s="1121">
        <v>0.2</v>
      </c>
      <c r="F97" s="1136">
        <v>30</v>
      </c>
    </row>
    <row r="98" spans="1:6" s="1087" customFormat="1" ht="36">
      <c r="A98" s="1136">
        <v>38</v>
      </c>
      <c r="B98" s="3528"/>
      <c r="C98" s="1136" t="s">
        <v>1569</v>
      </c>
      <c r="D98" s="1050" t="s">
        <v>1570</v>
      </c>
      <c r="E98" s="1121">
        <v>0.2</v>
      </c>
      <c r="F98" s="1136">
        <v>30</v>
      </c>
    </row>
    <row r="99" spans="1:6" s="1087" customFormat="1" ht="36">
      <c r="A99" s="1136">
        <v>39</v>
      </c>
      <c r="B99" s="3528" t="s">
        <v>1571</v>
      </c>
      <c r="C99" s="1136" t="s">
        <v>1572</v>
      </c>
      <c r="D99" s="1050" t="s">
        <v>1573</v>
      </c>
      <c r="E99" s="1121">
        <v>0.3</v>
      </c>
      <c r="F99" s="1136">
        <v>50</v>
      </c>
    </row>
    <row r="100" spans="1:6" s="1087" customFormat="1" ht="24">
      <c r="A100" s="1136">
        <v>40</v>
      </c>
      <c r="B100" s="3528"/>
      <c r="C100" s="1136" t="s">
        <v>1574</v>
      </c>
      <c r="D100" s="1050" t="s">
        <v>1575</v>
      </c>
      <c r="E100" s="1121">
        <v>0.2</v>
      </c>
      <c r="F100" s="1136">
        <v>30</v>
      </c>
    </row>
    <row r="101" spans="1:6" s="1087" customFormat="1" ht="36">
      <c r="A101" s="1136">
        <v>41</v>
      </c>
      <c r="B101" s="352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28" t="s">
        <v>1586</v>
      </c>
      <c r="C105" s="1136" t="s">
        <v>1587</v>
      </c>
      <c r="D105" s="1050" t="s">
        <v>1588</v>
      </c>
      <c r="E105" s="1121">
        <v>0.2</v>
      </c>
      <c r="F105" s="1136">
        <v>30</v>
      </c>
    </row>
    <row r="106" spans="1:6" s="1087" customFormat="1" ht="36">
      <c r="A106" s="1136">
        <v>46</v>
      </c>
      <c r="B106" s="3528"/>
      <c r="C106" s="1136" t="s">
        <v>1589</v>
      </c>
      <c r="D106" s="1050" t="s">
        <v>1590</v>
      </c>
      <c r="E106" s="1121">
        <v>0.2</v>
      </c>
      <c r="F106" s="1136">
        <v>30</v>
      </c>
    </row>
    <row r="107" spans="1:6" s="1087" customFormat="1" ht="36">
      <c r="A107" s="1136">
        <v>47</v>
      </c>
      <c r="B107" s="3528" t="s">
        <v>1591</v>
      </c>
      <c r="C107" s="1136" t="s">
        <v>1592</v>
      </c>
      <c r="D107" s="1050" t="s">
        <v>1593</v>
      </c>
      <c r="E107" s="1121">
        <v>0.3</v>
      </c>
      <c r="F107" s="1136">
        <v>50</v>
      </c>
    </row>
    <row r="108" spans="1:6" s="1087" customFormat="1" ht="36">
      <c r="A108" s="1136">
        <v>48</v>
      </c>
      <c r="B108" s="352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28" t="s">
        <v>1602</v>
      </c>
      <c r="C111" s="1136" t="s">
        <v>1603</v>
      </c>
      <c r="D111" s="1050" t="s">
        <v>1604</v>
      </c>
      <c r="E111" s="1121">
        <v>0.2</v>
      </c>
      <c r="F111" s="1136">
        <v>30</v>
      </c>
    </row>
    <row r="112" spans="1:6" s="1087" customFormat="1" ht="24">
      <c r="A112" s="1136">
        <v>52</v>
      </c>
      <c r="B112" s="3528"/>
      <c r="C112" s="1136" t="s">
        <v>1605</v>
      </c>
      <c r="D112" s="1050" t="s">
        <v>1606</v>
      </c>
      <c r="E112" s="1121">
        <v>0.2</v>
      </c>
      <c r="F112" s="1136">
        <v>30</v>
      </c>
    </row>
    <row r="113" spans="1:14" s="1087" customFormat="1" ht="24">
      <c r="A113" s="1136">
        <v>53</v>
      </c>
      <c r="B113" s="352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28" t="s">
        <v>1615</v>
      </c>
      <c r="C116" s="1136" t="s">
        <v>1616</v>
      </c>
      <c r="D116" s="1050" t="s">
        <v>1617</v>
      </c>
      <c r="E116" s="1121">
        <v>0.2</v>
      </c>
      <c r="F116" s="1136">
        <v>30</v>
      </c>
    </row>
    <row r="117" spans="1:14" ht="36">
      <c r="A117" s="1136">
        <v>57</v>
      </c>
      <c r="B117" s="352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27" t="s">
        <v>1624</v>
      </c>
      <c r="B121" s="3527"/>
      <c r="C121" s="3527"/>
      <c r="D121" s="3527"/>
      <c r="E121" s="3527"/>
      <c r="F121" s="3527"/>
      <c r="G121" s="3527"/>
      <c r="H121" s="3527"/>
      <c r="I121" s="3527"/>
      <c r="J121" s="352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29" t="s">
        <v>1030</v>
      </c>
      <c r="B1" s="3529"/>
      <c r="C1" s="3529"/>
      <c r="D1" s="3529"/>
      <c r="E1" s="3529"/>
      <c r="F1" s="3529"/>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30" t="s">
        <v>1043</v>
      </c>
      <c r="B2" s="3530"/>
      <c r="C2" s="3530"/>
      <c r="D2" s="3530"/>
      <c r="E2" s="3530"/>
      <c r="F2" s="3530"/>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31"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32"/>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22270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0.89029999999999998</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33" t="s">
        <v>2068</v>
      </c>
      <c r="B1" s="3533"/>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41" t="s">
        <v>2557</v>
      </c>
      <c r="C1" s="3541"/>
      <c r="D1" s="3541"/>
      <c r="E1" s="3541"/>
      <c r="F1" s="3541"/>
      <c r="G1" s="3540" t="s">
        <v>2558</v>
      </c>
      <c r="H1" s="3540"/>
      <c r="I1" s="3540"/>
      <c r="J1" s="3540"/>
      <c r="K1" s="3540"/>
      <c r="L1" s="3540"/>
      <c r="N1" s="3540" t="s">
        <v>2559</v>
      </c>
      <c r="O1" s="3540"/>
      <c r="P1" s="3540"/>
      <c r="Q1" s="3540"/>
      <c r="S1" s="3540" t="s">
        <v>2560</v>
      </c>
      <c r="T1" s="3540"/>
      <c r="U1" s="3540"/>
      <c r="V1" s="3540"/>
      <c r="X1" s="3539" t="s">
        <v>2620</v>
      </c>
      <c r="Y1" s="3540"/>
      <c r="Z1" s="3540"/>
      <c r="AA1" s="3540"/>
      <c r="AB1" s="3540"/>
      <c r="AD1" s="3539" t="s">
        <v>2624</v>
      </c>
      <c r="AE1" s="3540"/>
      <c r="AF1" s="3540"/>
      <c r="AG1" s="3540"/>
      <c r="AH1" s="3540"/>
    </row>
    <row r="2" spans="1:34" s="2864" customFormat="1" ht="14.25" thickBot="1">
      <c r="B2" s="2865" t="s">
        <v>2561</v>
      </c>
      <c r="C2" s="2865" t="s">
        <v>2622</v>
      </c>
      <c r="D2" s="2866" t="s">
        <v>1635</v>
      </c>
      <c r="E2" s="2866" t="s">
        <v>1938</v>
      </c>
      <c r="F2" s="2865" t="s">
        <v>2623</v>
      </c>
      <c r="G2" s="2867"/>
      <c r="I2" s="2865" t="s">
        <v>2923</v>
      </c>
      <c r="J2" s="2866" t="s">
        <v>2925</v>
      </c>
      <c r="K2" s="2866" t="s">
        <v>2926</v>
      </c>
      <c r="L2" s="2865" t="s">
        <v>2927</v>
      </c>
      <c r="N2" s="2865" t="s">
        <v>2561</v>
      </c>
      <c r="O2" s="2866" t="s">
        <v>2924</v>
      </c>
      <c r="P2" s="2866" t="s">
        <v>1938</v>
      </c>
      <c r="Q2" s="2865" t="s">
        <v>2623</v>
      </c>
      <c r="S2" s="2865" t="s">
        <v>2561</v>
      </c>
      <c r="T2" s="2866" t="s">
        <v>2924</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2934</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3001</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2935</v>
      </c>
      <c r="X5" s="2895">
        <f>ROUND(SUMPRODUCT(PRODUCT(1+N5:N$34)),4)</f>
        <v>1.6671</v>
      </c>
      <c r="Y5" s="2895">
        <f>ROUND(SUMPRODUCT(PRODUCT(1+O5:O$34)),4)</f>
        <v>1.3807</v>
      </c>
      <c r="Z5" s="2895">
        <f t="shared" ref="Z5" si="11">Y5</f>
        <v>1.3807</v>
      </c>
      <c r="AA5" s="2895">
        <f>ROUND(SUMPRODUCT(PRODUCT(1+P5:P$34)),4)</f>
        <v>1.7545999999999999</v>
      </c>
      <c r="AB5" s="2895">
        <f>ROUND(SUMPRODUCT(PRODUCT(1+Q5:Q$34)),4)</f>
        <v>1.4510000000000001</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3000</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ROUND(SUMPRODUCT(PRODUCT(1+N6:N$34)),4)</f>
        <v>1.6671</v>
      </c>
      <c r="Y6" s="2885">
        <f>ROUND(SUMPRODUCT(PRODUCT(1+O6:O$34)),4)</f>
        <v>1.3807</v>
      </c>
      <c r="Z6" s="2885">
        <f t="shared" ref="Z6" si="22">Y6</f>
        <v>1.3807</v>
      </c>
      <c r="AA6" s="2885">
        <f>ROUND(SUMPRODUCT(PRODUCT(1+P6:P$34)),4)</f>
        <v>1.7545999999999999</v>
      </c>
      <c r="AB6" s="2885">
        <f>ROUND(SUMPRODUCT(PRODUCT(1+Q6:Q$34)),4)</f>
        <v>1.4510000000000001</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2999</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ROUND(SUMPRODUCT(PRODUCT(1+N7:N$34)),4)</f>
        <v>1.6511</v>
      </c>
      <c r="Y7" s="2885">
        <f>ROUND(SUMPRODUCT(PRODUCT(1+O7:O$34)),4)</f>
        <v>1.3785000000000001</v>
      </c>
      <c r="Z7" s="2885">
        <f t="shared" ref="Z7" si="33">Y7</f>
        <v>1.3785000000000001</v>
      </c>
      <c r="AA7" s="2885">
        <f>ROUND(SUMPRODUCT(PRODUCT(1+P7:P$34)),4)</f>
        <v>1.7353000000000001</v>
      </c>
      <c r="AB7" s="2885">
        <f>ROUND(SUMPRODUCT(PRODUCT(1+Q7:Q$34)),4)</f>
        <v>1.4458</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2998</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ROUND(SUMPRODUCT(PRODUCT(1+N8:N$34)),4)</f>
        <v>1.6175999999999999</v>
      </c>
      <c r="Y8" s="2885">
        <f>ROUND(SUMPRODUCT(PRODUCT(1+O8:O$34)),4)</f>
        <v>1.3734</v>
      </c>
      <c r="Z8" s="2885">
        <f t="shared" ref="Z8" si="44">Y8</f>
        <v>1.3734</v>
      </c>
      <c r="AA8" s="2885">
        <f>ROUND(SUMPRODUCT(PRODUCT(1+P8:P$34)),4)</f>
        <v>1.6955</v>
      </c>
      <c r="AB8" s="2885">
        <f>ROUND(SUMPRODUCT(PRODUCT(1+Q8:Q$34)),4)</f>
        <v>1.4078999999999999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2961</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ROUND(SUMPRODUCT(PRODUCT(1+N9:N$34)),4)</f>
        <v>1.6117999999999999</v>
      </c>
      <c r="Y9" s="2885">
        <f>ROUND(SUMPRODUCT(PRODUCT(1+O9:O$34)),4)</f>
        <v>1.3788</v>
      </c>
      <c r="Z9" s="2885">
        <f t="shared" ref="Z9" si="55">Y9</f>
        <v>1.3788</v>
      </c>
      <c r="AA9" s="2885">
        <f>ROUND(SUMPRODUCT(PRODUCT(1+P9:P$34)),4)</f>
        <v>1.6872</v>
      </c>
      <c r="AB9" s="2885">
        <f>ROUND(SUMPRODUCT(PRODUCT(1+Q9:Q$34)),4)</f>
        <v>1.4069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2959</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ROUND(SUMPRODUCT(PRODUCT(1+N10:N$34)),4)</f>
        <v>1.6068</v>
      </c>
      <c r="Y10" s="2885">
        <f>ROUND(SUMPRODUCT(PRODUCT(1+O10:O$34)),4)</f>
        <v>1.3895999999999999</v>
      </c>
      <c r="Z10" s="2885">
        <f t="shared" ref="Z10:Z33" si="66">Y10</f>
        <v>1.3895999999999999</v>
      </c>
      <c r="AA10" s="2885">
        <f>ROUND(SUMPRODUCT(PRODUCT(1+P10:P$34)),4)</f>
        <v>1.6788000000000001</v>
      </c>
      <c r="AB10" s="2885">
        <f>ROUND(SUMPRODUCT(PRODUCT(1+Q10:Q$34)),4)</f>
        <v>1.4004000000000001</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2956</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ROUND(SUMPRODUCT(PRODUCT(1+N11:N$34)),4)</f>
        <v>1.6049</v>
      </c>
      <c r="Y11" s="2885">
        <f>ROUND(SUMPRODUCT(PRODUCT(1+O11:O$34)),4)</f>
        <v>1.3952</v>
      </c>
      <c r="Z11" s="2885">
        <f t="shared" si="66"/>
        <v>1.3952</v>
      </c>
      <c r="AA11" s="2885">
        <f>ROUND(SUMPRODUCT(PRODUCT(1+P11:P$34)),4)</f>
        <v>1.6753</v>
      </c>
      <c r="AB11" s="2885">
        <f>ROUND(SUMPRODUCT(PRODUCT(1+Q11:Q$34)),4)</f>
        <v>1.3966000000000001</v>
      </c>
      <c r="AC11" s="2885"/>
      <c r="AD11" s="2886">
        <f>ROUND(AVERAGE(I11:I$34)/100,4)</f>
        <v>0.02</v>
      </c>
      <c r="AE11" s="2886">
        <f>ROUND(AVERAGE(J11:J$34)/100,4)</f>
        <v>1.4E-2</v>
      </c>
      <c r="AF11" s="2886">
        <f t="shared" ref="AF11" si="77">AE11</f>
        <v>1.4E-2</v>
      </c>
      <c r="AG11" s="2886">
        <f>ROUND(AVERAGE(K11:K$34)/100,4)</f>
        <v>2.1899999999999999E-2</v>
      </c>
      <c r="AH11" s="2886">
        <f>ROUND(AVERAGE(L11:L$34)/100,4)</f>
        <v>1.4E-2</v>
      </c>
    </row>
    <row r="12" spans="1:34" s="2904" customFormat="1" ht="13.5" thickBot="1">
      <c r="A12" s="2897" t="s">
        <v>2955</v>
      </c>
      <c r="B12" s="2898">
        <f t="shared" ref="B12" si="78">B13*(1+N12)</f>
        <v>477.19997390765138</v>
      </c>
      <c r="C12" s="2898">
        <f t="shared" ref="C12" si="79">C13*(1+O12)</f>
        <v>351.84874729536665</v>
      </c>
      <c r="D12" s="2898">
        <f t="shared" ref="D12" si="80">C12</f>
        <v>351.84874729536665</v>
      </c>
      <c r="E12" s="2898">
        <f t="shared" ref="E12" si="81">E13*(1+P12)</f>
        <v>682.29768951465201</v>
      </c>
      <c r="F12" s="2898">
        <f t="shared" ref="F12" si="82">F13*(1+Q12)</f>
        <v>315.26985675409043</v>
      </c>
      <c r="G12" s="2881">
        <v>2019</v>
      </c>
      <c r="H12" s="2899">
        <v>3</v>
      </c>
      <c r="I12" s="2899">
        <v>0.61</v>
      </c>
      <c r="J12" s="2899">
        <v>0.67</v>
      </c>
      <c r="K12" s="2899">
        <v>0.6</v>
      </c>
      <c r="L12" s="2905">
        <v>1.03</v>
      </c>
      <c r="M12" s="2885"/>
      <c r="N12" s="2900">
        <f t="shared" ref="N12" si="83">I12/100</f>
        <v>6.0999999999999995E-3</v>
      </c>
      <c r="O12" s="2886">
        <f t="shared" ref="O12" si="84">J12/100</f>
        <v>6.7000000000000002E-3</v>
      </c>
      <c r="P12" s="2886">
        <f t="shared" ref="P12" si="85">K12/100</f>
        <v>6.0000000000000001E-3</v>
      </c>
      <c r="Q12" s="2886">
        <f t="shared" ref="Q12" si="86">L12/100</f>
        <v>1.03E-2</v>
      </c>
      <c r="R12" s="2901"/>
      <c r="S12" s="2902"/>
      <c r="T12" s="2903"/>
      <c r="U12" s="2903"/>
      <c r="V12" s="2903"/>
      <c r="W12" s="2885"/>
      <c r="X12" s="2885">
        <f>ROUND(SUMPRODUCT(PRODUCT(1+N12:N$34)),4)</f>
        <v>1.5976999999999999</v>
      </c>
      <c r="Y12" s="2885">
        <f>ROUND(SUMPRODUCT(PRODUCT(1+O12:O$34)),4)</f>
        <v>1.3969</v>
      </c>
      <c r="Z12" s="2885">
        <f t="shared" si="66"/>
        <v>1.3969</v>
      </c>
      <c r="AA12" s="2885">
        <f>ROUND(SUMPRODUCT(PRODUCT(1+P12:P$34)),4)</f>
        <v>1.6662999999999999</v>
      </c>
      <c r="AB12" s="2885">
        <f>ROUND(SUMPRODUCT(PRODUCT(1+Q12:Q$34)),4)</f>
        <v>1.3898999999999999</v>
      </c>
      <c r="AC12" s="2885"/>
      <c r="AD12" s="2886">
        <f>ROUND(AVERAGE(I12:I$34)/100,4)</f>
        <v>2.07E-2</v>
      </c>
      <c r="AE12" s="2886">
        <f>ROUND(AVERAGE(J12:J$34)/100,4)</f>
        <v>1.47E-2</v>
      </c>
      <c r="AF12" s="2886">
        <f t="shared" ref="AF12" si="87">AE12</f>
        <v>1.47E-2</v>
      </c>
      <c r="AG12" s="2886">
        <f>ROUND(AVERAGE(K12:K$34)/100,4)</f>
        <v>2.2599999999999999E-2</v>
      </c>
      <c r="AH12" s="2886">
        <f>ROUND(AVERAGE(L12:L$34)/100,4)</f>
        <v>1.44E-2</v>
      </c>
    </row>
    <row r="13" spans="1:34" s="2904" customFormat="1">
      <c r="A13" s="2897" t="s">
        <v>2954</v>
      </c>
      <c r="B13" s="2898">
        <f t="shared" ref="B13:B18" si="88">B14*(1+N13)</f>
        <v>474.30670301923408</v>
      </c>
      <c r="C13" s="2898">
        <f t="shared" ref="C13" si="89">C14*(1+O13)</f>
        <v>349.50705005996491</v>
      </c>
      <c r="D13" s="2898">
        <f t="shared" ref="D13" si="90">C13</f>
        <v>349.50705005996491</v>
      </c>
      <c r="E13" s="2898">
        <f t="shared" ref="E13" si="91">E14*(1+P13)</f>
        <v>678.22831959706957</v>
      </c>
      <c r="F13" s="2898">
        <f t="shared" ref="F13" si="92">F14*(1+Q13)</f>
        <v>312.0556832169558</v>
      </c>
      <c r="G13" s="2881">
        <v>2019</v>
      </c>
      <c r="H13" s="2906">
        <v>2</v>
      </c>
      <c r="I13" s="2906">
        <v>1.53</v>
      </c>
      <c r="J13" s="2906">
        <v>1.01</v>
      </c>
      <c r="K13" s="2906">
        <v>1.62</v>
      </c>
      <c r="L13" s="2907">
        <v>1.25</v>
      </c>
      <c r="M13" s="2885"/>
      <c r="N13" s="2900">
        <f t="shared" ref="N13" si="93">I13/100</f>
        <v>1.5300000000000001E-2</v>
      </c>
      <c r="O13" s="2886">
        <f t="shared" ref="O13" si="94">J13/100</f>
        <v>1.01E-2</v>
      </c>
      <c r="P13" s="2886">
        <f t="shared" ref="P13" si="95">K13/100</f>
        <v>1.6200000000000003E-2</v>
      </c>
      <c r="Q13" s="2886">
        <f t="shared" ref="Q13" si="96">L13/100</f>
        <v>1.2500000000000001E-2</v>
      </c>
      <c r="R13" s="2901"/>
      <c r="S13" s="2902"/>
      <c r="T13" s="2903"/>
      <c r="U13" s="2903"/>
      <c r="V13" s="2903"/>
      <c r="W13" s="2885"/>
      <c r="X13" s="2885">
        <f>ROUND(SUMPRODUCT(PRODUCT(1+N13:N$34)),4)</f>
        <v>1.5880000000000001</v>
      </c>
      <c r="Y13" s="2885">
        <f>ROUND(SUMPRODUCT(PRODUCT(1+O13:O$34)),4)</f>
        <v>1.3875999999999999</v>
      </c>
      <c r="Z13" s="2885">
        <f t="shared" si="66"/>
        <v>1.3875999999999999</v>
      </c>
      <c r="AA13" s="2885">
        <f>ROUND(SUMPRODUCT(PRODUCT(1+P13:P$34)),4)</f>
        <v>1.6563000000000001</v>
      </c>
      <c r="AB13" s="2885">
        <f>ROUND(SUMPRODUCT(PRODUCT(1+Q13:Q$34)),4)</f>
        <v>1.3756999999999999</v>
      </c>
      <c r="AC13" s="2885"/>
      <c r="AD13" s="2886">
        <f>ROUND(AVERAGE(I13:I$34)/100,4)</f>
        <v>2.1299999999999999E-2</v>
      </c>
      <c r="AE13" s="2886">
        <f>ROUND(AVERAGE(J13:J$34)/100,4)</f>
        <v>1.4999999999999999E-2</v>
      </c>
      <c r="AF13" s="2886">
        <f t="shared" ref="AF13" si="97">AE13</f>
        <v>1.4999999999999999E-2</v>
      </c>
      <c r="AG13" s="2886">
        <f>ROUND(AVERAGE(K13:K$34)/100,4)</f>
        <v>2.3300000000000001E-2</v>
      </c>
      <c r="AH13" s="2886">
        <f>ROUND(AVERAGE(L13:L$34)/100,4)</f>
        <v>1.46E-2</v>
      </c>
    </row>
    <row r="14" spans="1:34" s="2904" customFormat="1" ht="13.5" thickBot="1">
      <c r="A14" s="2897" t="s">
        <v>2953</v>
      </c>
      <c r="B14" s="2898">
        <f t="shared" si="88"/>
        <v>467.15916775261894</v>
      </c>
      <c r="C14" s="2898">
        <f t="shared" ref="C14" si="98">C15*(1+O14)</f>
        <v>346.01232557169084</v>
      </c>
      <c r="D14" s="2898">
        <f t="shared" ref="D14" si="99">C14</f>
        <v>346.01232557169084</v>
      </c>
      <c r="E14" s="2898">
        <f t="shared" ref="E14" si="100">E15*(1+P14)</f>
        <v>667.41617752122568</v>
      </c>
      <c r="F14" s="2898">
        <f t="shared" ref="F14" si="101">F15*(1+Q14)</f>
        <v>308.20314391798104</v>
      </c>
      <c r="G14" s="2881">
        <v>2019</v>
      </c>
      <c r="H14" s="2899">
        <v>1</v>
      </c>
      <c r="I14" s="2899">
        <v>0.6</v>
      </c>
      <c r="J14" s="2899">
        <v>0.37</v>
      </c>
      <c r="K14" s="2899">
        <v>0.63</v>
      </c>
      <c r="L14" s="2905">
        <v>1.1299999999999999</v>
      </c>
      <c r="M14" s="2885"/>
      <c r="N14" s="2900">
        <f t="shared" ref="N14" si="102">I14/100</f>
        <v>6.0000000000000001E-3</v>
      </c>
      <c r="O14" s="2886">
        <f t="shared" ref="O14" si="103">J14/100</f>
        <v>3.7000000000000002E-3</v>
      </c>
      <c r="P14" s="2886">
        <f t="shared" ref="P14" si="104">K14/100</f>
        <v>6.3E-3</v>
      </c>
      <c r="Q14" s="2886">
        <f t="shared" ref="Q14" si="105">L14/100</f>
        <v>1.1299999999999999E-2</v>
      </c>
      <c r="R14" s="2901"/>
      <c r="S14" s="2902">
        <f>B14/B15-1</f>
        <v>6.0000000000000053E-3</v>
      </c>
      <c r="T14" s="2903">
        <f>C14/C15-1</f>
        <v>3.7000000000000366E-3</v>
      </c>
      <c r="U14" s="2903">
        <f>E14/E15-1</f>
        <v>6.2999999999999723E-3</v>
      </c>
      <c r="V14" s="2903">
        <f>F14/F15-1</f>
        <v>1.1300000000000088E-2</v>
      </c>
      <c r="W14" s="2885"/>
      <c r="X14" s="2885">
        <f>ROUND(SUMPRODUCT(PRODUCT(1+N14:N$34)),4)</f>
        <v>1.5641</v>
      </c>
      <c r="Y14" s="2885">
        <f>ROUND(SUMPRODUCT(PRODUCT(1+O14:O$34)),4)</f>
        <v>1.3736999999999999</v>
      </c>
      <c r="Z14" s="2885">
        <f t="shared" si="66"/>
        <v>1.3736999999999999</v>
      </c>
      <c r="AA14" s="2885">
        <f>ROUND(SUMPRODUCT(PRODUCT(1+P14:P$34)),4)</f>
        <v>1.6298999999999999</v>
      </c>
      <c r="AB14" s="2885">
        <f>ROUND(SUMPRODUCT(PRODUCT(1+Q14:Q$34)),4)</f>
        <v>1.3588</v>
      </c>
      <c r="AC14" s="2885"/>
      <c r="AD14" s="2886">
        <f>ROUND(AVERAGE(I14:I$34)/100,4)</f>
        <v>2.1600000000000001E-2</v>
      </c>
      <c r="AE14" s="2886">
        <f>ROUND(AVERAGE(J14:J$34)/100,4)</f>
        <v>1.5299999999999999E-2</v>
      </c>
      <c r="AF14" s="2886">
        <f t="shared" ref="AF14" si="106">AE14</f>
        <v>1.5299999999999999E-2</v>
      </c>
      <c r="AG14" s="2886">
        <f>ROUND(AVERAGE(K14:K$34)/100,4)</f>
        <v>2.3699999999999999E-2</v>
      </c>
      <c r="AH14" s="2886">
        <f>ROUND(AVERAGE(L14:L$34)/100,4)</f>
        <v>1.47E-2</v>
      </c>
    </row>
    <row r="15" spans="1:34" s="2904" customFormat="1">
      <c r="A15" s="2897" t="s">
        <v>2951</v>
      </c>
      <c r="B15" s="2908">
        <f t="shared" si="88"/>
        <v>464.37293017158942</v>
      </c>
      <c r="C15" s="2908">
        <f t="shared" ref="C15" si="107">C16*(1+O15)</f>
        <v>344.73679941385956</v>
      </c>
      <c r="D15" s="2908">
        <f t="shared" ref="D15" si="108">C15</f>
        <v>344.73679941385956</v>
      </c>
      <c r="E15" s="2908">
        <f t="shared" ref="E15" si="109">E16*(1+P15)</f>
        <v>663.2377795103107</v>
      </c>
      <c r="F15" s="2909">
        <f t="shared" ref="F15" si="110">F16*(1+Q15)</f>
        <v>304.75936311478398</v>
      </c>
      <c r="G15" s="3535">
        <v>2018</v>
      </c>
      <c r="H15" s="2906">
        <v>4</v>
      </c>
      <c r="I15" s="2906">
        <v>0.96</v>
      </c>
      <c r="J15" s="2906">
        <v>1.03</v>
      </c>
      <c r="K15" s="2906">
        <v>0.92</v>
      </c>
      <c r="L15" s="2907">
        <v>1.29</v>
      </c>
      <c r="M15" s="2885"/>
      <c r="N15" s="2900">
        <f t="shared" ref="N15" si="111">I15/100</f>
        <v>9.5999999999999992E-3</v>
      </c>
      <c r="O15" s="2886">
        <f t="shared" ref="O15" si="112">J15/100</f>
        <v>1.03E-2</v>
      </c>
      <c r="P15" s="2886">
        <f t="shared" ref="P15" si="113">K15/100</f>
        <v>9.1999999999999998E-3</v>
      </c>
      <c r="Q15" s="2886">
        <f t="shared" ref="Q15" si="114">L15/100</f>
        <v>1.29E-2</v>
      </c>
      <c r="R15" s="2901"/>
      <c r="S15" s="2910"/>
      <c r="T15" s="2911"/>
      <c r="U15" s="2911"/>
      <c r="V15" s="2911"/>
      <c r="W15" s="2885"/>
      <c r="X15" s="2885">
        <f>ROUND(SUMPRODUCT(PRODUCT(1+N15:N$34)),4)</f>
        <v>1.5548</v>
      </c>
      <c r="Y15" s="2885">
        <f>ROUND(SUMPRODUCT(PRODUCT(1+O15:O$34)),4)</f>
        <v>1.3686</v>
      </c>
      <c r="Z15" s="2885">
        <f t="shared" si="66"/>
        <v>1.3686</v>
      </c>
      <c r="AA15" s="2885">
        <f>ROUND(SUMPRODUCT(PRODUCT(1+P15:P$34)),4)</f>
        <v>1.6196999999999999</v>
      </c>
      <c r="AB15" s="2885">
        <f>ROUND(SUMPRODUCT(PRODUCT(1+Q15:Q$34)),4)</f>
        <v>1.3435999999999999</v>
      </c>
      <c r="AC15" s="2885"/>
      <c r="AD15" s="2886">
        <f>ROUND(AVERAGE(I15:I$34)/100,4)</f>
        <v>2.24E-2</v>
      </c>
      <c r="AE15" s="2886">
        <f>ROUND(AVERAGE(J15:J$34)/100,4)</f>
        <v>1.5800000000000002E-2</v>
      </c>
      <c r="AF15" s="2886">
        <f t="shared" ref="AF15" si="115">AE15</f>
        <v>1.5800000000000002E-2</v>
      </c>
      <c r="AG15" s="2886">
        <f>ROUND(AVERAGE(K15:K$34)/100,4)</f>
        <v>2.4500000000000001E-2</v>
      </c>
      <c r="AH15" s="2886">
        <f>ROUND(AVERAGE(L15:L$34)/100,4)</f>
        <v>1.49E-2</v>
      </c>
    </row>
    <row r="16" spans="1:34" s="2904" customFormat="1" ht="14.45" customHeight="1">
      <c r="A16" s="2897" t="s">
        <v>2944</v>
      </c>
      <c r="B16" s="2898">
        <f t="shared" si="88"/>
        <v>459.95733971036987</v>
      </c>
      <c r="C16" s="2898">
        <f t="shared" ref="C16" si="116">C17*(1+O16)</f>
        <v>341.22221064422405</v>
      </c>
      <c r="D16" s="2898">
        <f t="shared" ref="D16" si="117">C16</f>
        <v>341.22221064422405</v>
      </c>
      <c r="E16" s="2898">
        <f t="shared" ref="E16" si="118">E17*(1+P16)</f>
        <v>657.19161663724799</v>
      </c>
      <c r="F16" s="2898">
        <f t="shared" ref="F16" si="119">F17*(1+Q16)</f>
        <v>300.87803644464805</v>
      </c>
      <c r="G16" s="3535"/>
      <c r="H16" s="2899">
        <v>3</v>
      </c>
      <c r="I16" s="2899">
        <v>1.51</v>
      </c>
      <c r="J16" s="2899">
        <v>1.41</v>
      </c>
      <c r="K16" s="2899">
        <v>1.52</v>
      </c>
      <c r="L16" s="2905">
        <v>1.74</v>
      </c>
      <c r="M16" s="2885"/>
      <c r="N16" s="2900">
        <f t="shared" ref="N16" si="120">I16/100</f>
        <v>1.5100000000000001E-2</v>
      </c>
      <c r="O16" s="2886">
        <f t="shared" ref="O16" si="121">J16/100</f>
        <v>1.41E-2</v>
      </c>
      <c r="P16" s="2886">
        <f t="shared" ref="P16" si="122">K16/100</f>
        <v>1.52E-2</v>
      </c>
      <c r="Q16" s="2886">
        <f t="shared" ref="Q16" si="123">L16/100</f>
        <v>1.7399999999999999E-2</v>
      </c>
      <c r="R16" s="2901"/>
      <c r="S16" s="2900"/>
      <c r="T16" s="2886"/>
      <c r="U16" s="2886"/>
      <c r="V16" s="2886"/>
      <c r="W16" s="2885"/>
      <c r="X16" s="2885">
        <f>ROUND(SUMPRODUCT(PRODUCT(1+N16:N$34)),4)</f>
        <v>1.54</v>
      </c>
      <c r="Y16" s="2885">
        <f>ROUND(SUMPRODUCT(PRODUCT(1+O16:O$34)),4)</f>
        <v>1.3547</v>
      </c>
      <c r="Z16" s="2885">
        <f t="shared" si="66"/>
        <v>1.3547</v>
      </c>
      <c r="AA16" s="2885">
        <f>ROUND(SUMPRODUCT(PRODUCT(1+P16:P$34)),4)</f>
        <v>1.605</v>
      </c>
      <c r="AB16" s="2885">
        <f>ROUND(SUMPRODUCT(PRODUCT(1+Q16:Q$34)),4)</f>
        <v>1.3265</v>
      </c>
      <c r="AC16" s="2885"/>
      <c r="AD16" s="2886">
        <f>ROUND(AVERAGE(I16:I$34)/100,4)</f>
        <v>2.3099999999999999E-2</v>
      </c>
      <c r="AE16" s="2886">
        <f>ROUND(AVERAGE(J16:J$34)/100,4)</f>
        <v>1.61E-2</v>
      </c>
      <c r="AF16" s="2886">
        <f t="shared" ref="AF16" si="124">AE16</f>
        <v>1.61E-2</v>
      </c>
      <c r="AG16" s="2886">
        <f>ROUND(AVERAGE(K16:K$34)/100,4)</f>
        <v>2.53E-2</v>
      </c>
      <c r="AH16" s="2886">
        <f>ROUND(AVERAGE(L16:L$34)/100,4)</f>
        <v>1.4999999999999999E-2</v>
      </c>
    </row>
    <row r="17" spans="1:34" s="2904" customFormat="1" ht="14.45" customHeight="1">
      <c r="A17" s="2897" t="s">
        <v>2945</v>
      </c>
      <c r="B17" s="2898">
        <f t="shared" si="88"/>
        <v>453.11529869999993</v>
      </c>
      <c r="C17" s="2898">
        <f t="shared" ref="C17" si="125">C18*(1+O17)</f>
        <v>336.47787264000004</v>
      </c>
      <c r="D17" s="2898">
        <f t="shared" ref="D17" si="126">C17</f>
        <v>336.47787264000004</v>
      </c>
      <c r="E17" s="2898">
        <f t="shared" ref="E17" si="127">E18*(1+P17)</f>
        <v>647.35186823999993</v>
      </c>
      <c r="F17" s="2898">
        <f t="shared" ref="F17" si="128">F18*(1+Q17)</f>
        <v>295.73229452000004</v>
      </c>
      <c r="G17" s="3535"/>
      <c r="H17" s="2912">
        <v>2</v>
      </c>
      <c r="I17" s="2912">
        <v>1.49</v>
      </c>
      <c r="J17" s="2912">
        <v>0.96</v>
      </c>
      <c r="K17" s="2912">
        <v>1.58</v>
      </c>
      <c r="L17" s="2913">
        <v>2.44</v>
      </c>
      <c r="M17" s="2885"/>
      <c r="N17" s="2900">
        <f t="shared" ref="N17" si="129">I17/100</f>
        <v>1.49E-2</v>
      </c>
      <c r="O17" s="2886">
        <f t="shared" ref="O17" si="130">J17/100</f>
        <v>9.5999999999999992E-3</v>
      </c>
      <c r="P17" s="2886">
        <f t="shared" ref="P17" si="131">K17/100</f>
        <v>1.5800000000000002E-2</v>
      </c>
      <c r="Q17" s="2886">
        <f t="shared" ref="Q17" si="132">L17/100</f>
        <v>2.4399999999999998E-2</v>
      </c>
      <c r="R17" s="2901"/>
      <c r="S17" s="2900"/>
      <c r="T17" s="2886"/>
      <c r="U17" s="2886"/>
      <c r="V17" s="2886"/>
      <c r="W17" s="2885"/>
      <c r="X17" s="2885">
        <f>ROUND(SUMPRODUCT(PRODUCT(1+N17:N$34)),4)</f>
        <v>1.5170999999999999</v>
      </c>
      <c r="Y17" s="2885">
        <f>ROUND(SUMPRODUCT(PRODUCT(1+O17:O$34)),4)</f>
        <v>1.3358000000000001</v>
      </c>
      <c r="Z17" s="2885">
        <f t="shared" si="66"/>
        <v>1.3358000000000001</v>
      </c>
      <c r="AA17" s="2885">
        <f>ROUND(SUMPRODUCT(PRODUCT(1+P17:P$34)),4)</f>
        <v>1.5809</v>
      </c>
      <c r="AB17" s="2885">
        <f>ROUND(SUMPRODUCT(PRODUCT(1+Q17:Q$34)),4)</f>
        <v>1.3038000000000001</v>
      </c>
      <c r="AC17" s="2885"/>
      <c r="AD17" s="2886">
        <f>ROUND(AVERAGE(I17:I$34)/100,4)</f>
        <v>2.35E-2</v>
      </c>
      <c r="AE17" s="2886">
        <f>ROUND(AVERAGE(J17:J$34)/100,4)</f>
        <v>1.6199999999999999E-2</v>
      </c>
      <c r="AF17" s="2886">
        <f t="shared" ref="AF17" si="133">AE17</f>
        <v>1.6199999999999999E-2</v>
      </c>
      <c r="AG17" s="2886">
        <f>ROUND(AVERAGE(K17:K$34)/100,4)</f>
        <v>2.5899999999999999E-2</v>
      </c>
      <c r="AH17" s="2886">
        <f>ROUND(AVERAGE(L17:L$34)/100,4)</f>
        <v>1.49E-2</v>
      </c>
    </row>
    <row r="18" spans="1:34" s="2904" customFormat="1" ht="15" customHeight="1" thickBot="1">
      <c r="A18" s="2897" t="s">
        <v>2941</v>
      </c>
      <c r="B18" s="2898">
        <f t="shared" si="88"/>
        <v>446.46299999999997</v>
      </c>
      <c r="C18" s="2898">
        <f t="shared" ref="C18" si="134">C19*(1+O18)</f>
        <v>333.27840000000003</v>
      </c>
      <c r="D18" s="2898">
        <f t="shared" ref="D18:D23" si="135">C18</f>
        <v>333.27840000000003</v>
      </c>
      <c r="E18" s="2898">
        <f t="shared" ref="E18" si="136">E19*(1+P18)</f>
        <v>637.28279999999995</v>
      </c>
      <c r="F18" s="2898">
        <f t="shared" ref="F18" si="137">F19*(1+Q18)</f>
        <v>288.68830000000003</v>
      </c>
      <c r="G18" s="3536"/>
      <c r="H18" s="2899">
        <v>1</v>
      </c>
      <c r="I18" s="2899">
        <v>1.7</v>
      </c>
      <c r="J18" s="2899">
        <v>1.92</v>
      </c>
      <c r="K18" s="2899">
        <v>1.64</v>
      </c>
      <c r="L18" s="2905">
        <v>2.0099999999999998</v>
      </c>
      <c r="M18" s="2885"/>
      <c r="N18" s="2900">
        <f t="shared" ref="N18:N23" si="138">I18/100</f>
        <v>1.7000000000000001E-2</v>
      </c>
      <c r="O18" s="2886">
        <f t="shared" ref="O18" si="139">J18/100</f>
        <v>1.9199999999999998E-2</v>
      </c>
      <c r="P18" s="2886">
        <f t="shared" ref="P18" si="140">K18/100</f>
        <v>1.6399999999999998E-2</v>
      </c>
      <c r="Q18" s="2886">
        <f t="shared" ref="Q18" si="141">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ROUND(SUMPRODUCT(PRODUCT(1+N18:N$34)),4)</f>
        <v>1.4947999999999999</v>
      </c>
      <c r="Y18" s="2885">
        <f>ROUND(SUMPRODUCT(PRODUCT(1+O18:O$34)),4)</f>
        <v>1.3230999999999999</v>
      </c>
      <c r="Z18" s="2885">
        <f t="shared" si="66"/>
        <v>1.3230999999999999</v>
      </c>
      <c r="AA18" s="2885">
        <f>ROUND(SUMPRODUCT(PRODUCT(1+P18:P$34)),4)</f>
        <v>1.5564</v>
      </c>
      <c r="AB18" s="2885">
        <f>ROUND(SUMPRODUCT(PRODUCT(1+Q18:Q$34)),4)</f>
        <v>1.2726999999999999</v>
      </c>
      <c r="AC18" s="2885"/>
      <c r="AD18" s="2886">
        <f>ROUND(AVERAGE(I18:I$34)/100,4)</f>
        <v>2.4E-2</v>
      </c>
      <c r="AE18" s="2886">
        <f>ROUND(AVERAGE(J18:J$34)/100,4)</f>
        <v>1.66E-2</v>
      </c>
      <c r="AF18" s="2886">
        <f t="shared" ref="AF18" si="142">AE18</f>
        <v>1.66E-2</v>
      </c>
      <c r="AG18" s="2886">
        <f>ROUND(AVERAGE(K18:K$34)/100,4)</f>
        <v>2.6499999999999999E-2</v>
      </c>
      <c r="AH18" s="2886">
        <f>ROUND(AVERAGE(L18:L$34)/100,4)</f>
        <v>1.43E-2</v>
      </c>
    </row>
    <row r="19" spans="1:34">
      <c r="A19" s="2897" t="s">
        <v>2933</v>
      </c>
      <c r="B19" s="2914">
        <v>439</v>
      </c>
      <c r="C19" s="2914">
        <v>327</v>
      </c>
      <c r="D19" s="2914">
        <f t="shared" si="135"/>
        <v>327</v>
      </c>
      <c r="E19" s="2914">
        <v>627</v>
      </c>
      <c r="F19" s="2915">
        <v>283</v>
      </c>
      <c r="G19" s="3534">
        <v>2017</v>
      </c>
      <c r="H19" s="2906">
        <v>4</v>
      </c>
      <c r="I19" s="2906">
        <v>1.71</v>
      </c>
      <c r="J19" s="2906">
        <v>1.78</v>
      </c>
      <c r="K19" s="2906">
        <v>1.71</v>
      </c>
      <c r="L19" s="2907">
        <v>1.43</v>
      </c>
      <c r="N19" s="2916">
        <f t="shared" si="138"/>
        <v>1.7100000000000001E-2</v>
      </c>
      <c r="O19" s="2917">
        <f t="shared" ref="O19" si="143">J19/100</f>
        <v>1.78E-2</v>
      </c>
      <c r="P19" s="2917">
        <f t="shared" ref="P19" si="144">K19/100</f>
        <v>1.7100000000000001E-2</v>
      </c>
      <c r="Q19" s="2917">
        <f t="shared" ref="Q19" si="145">L19/100</f>
        <v>1.43E-2</v>
      </c>
      <c r="R19" s="2901"/>
      <c r="S19" s="2910"/>
      <c r="T19" s="2911"/>
      <c r="U19" s="2911"/>
      <c r="V19" s="2911"/>
      <c r="X19" s="2885">
        <f>ROUND(SUMPRODUCT(PRODUCT(1+N19:N$34)),4)</f>
        <v>1.4698</v>
      </c>
      <c r="Y19" s="2885">
        <f>ROUND(SUMPRODUCT(PRODUCT(1+O19:O$34)),4)</f>
        <v>1.2982</v>
      </c>
      <c r="Z19" s="2885">
        <f t="shared" si="66"/>
        <v>1.2982</v>
      </c>
      <c r="AA19" s="2885">
        <f>ROUND(SUMPRODUCT(PRODUCT(1+P19:P$34)),4)</f>
        <v>1.5311999999999999</v>
      </c>
      <c r="AB19" s="2885">
        <f>ROUND(SUMPRODUCT(PRODUCT(1+Q19:Q$34)),4)</f>
        <v>1.2476</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2936</v>
      </c>
      <c r="B20" s="2898">
        <f t="shared" ref="B20:C22" si="146">B21*(1+N20)</f>
        <v>431.80730811680002</v>
      </c>
      <c r="C20" s="2898">
        <f t="shared" si="146"/>
        <v>320.57880516480003</v>
      </c>
      <c r="D20" s="2898">
        <f t="shared" si="135"/>
        <v>320.57880516480003</v>
      </c>
      <c r="E20" s="2898">
        <f t="shared" ref="E20:F22" si="147">E21*(1+P20)</f>
        <v>615.96110553196797</v>
      </c>
      <c r="F20" s="2898">
        <f t="shared" si="147"/>
        <v>279.46777300108801</v>
      </c>
      <c r="G20" s="3535"/>
      <c r="H20" s="2899">
        <v>3</v>
      </c>
      <c r="I20" s="2899">
        <v>2.98</v>
      </c>
      <c r="J20" s="2899">
        <v>2.11</v>
      </c>
      <c r="K20" s="2899">
        <v>3.24</v>
      </c>
      <c r="L20" s="2905">
        <v>1.72</v>
      </c>
      <c r="M20" s="2885"/>
      <c r="N20" s="2900">
        <f t="shared" si="138"/>
        <v>2.98E-2</v>
      </c>
      <c r="O20" s="2918">
        <f t="shared" ref="O20:O21" si="148">J20/100</f>
        <v>2.1099999999999997E-2</v>
      </c>
      <c r="P20" s="2918">
        <f t="shared" ref="P20:P21" si="149">K20/100</f>
        <v>3.2400000000000005E-2</v>
      </c>
      <c r="Q20" s="2918">
        <f t="shared" ref="Q20:Q21" si="150">L20/100</f>
        <v>1.72E-2</v>
      </c>
      <c r="R20" s="2901"/>
      <c r="S20" s="2900"/>
      <c r="T20" s="2886"/>
      <c r="U20" s="2886"/>
      <c r="V20" s="2886"/>
      <c r="W20" s="2885"/>
      <c r="X20" s="2885">
        <f>ROUND(SUMPRODUCT(PRODUCT(1+N20:N$34)),4)</f>
        <v>1.4451000000000001</v>
      </c>
      <c r="Y20" s="2885">
        <f>ROUND(SUMPRODUCT(PRODUCT(1+O20:O$34)),4)</f>
        <v>1.2755000000000001</v>
      </c>
      <c r="Z20" s="2885">
        <f t="shared" si="66"/>
        <v>1.2755000000000001</v>
      </c>
      <c r="AA20" s="2885">
        <f>ROUND(SUMPRODUCT(PRODUCT(1+P20:P$34)),4)</f>
        <v>1.5055000000000001</v>
      </c>
      <c r="AB20" s="2885">
        <f>ROUND(SUMPRODUCT(PRODUCT(1+Q20:Q$34)),4)</f>
        <v>1.2301</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2562</v>
      </c>
      <c r="B21" s="2898">
        <f t="shared" si="146"/>
        <v>419.31181600000002</v>
      </c>
      <c r="C21" s="2898">
        <f t="shared" si="146"/>
        <v>313.95436800000004</v>
      </c>
      <c r="D21" s="2898">
        <f t="shared" si="135"/>
        <v>313.95436800000004</v>
      </c>
      <c r="E21" s="2898">
        <f t="shared" si="147"/>
        <v>596.63028431999999</v>
      </c>
      <c r="F21" s="2898">
        <f t="shared" si="147"/>
        <v>274.74220703999998</v>
      </c>
      <c r="G21" s="3535"/>
      <c r="H21" s="2912">
        <v>2</v>
      </c>
      <c r="I21" s="2912">
        <v>3.4</v>
      </c>
      <c r="J21" s="2912">
        <v>2</v>
      </c>
      <c r="K21" s="2912">
        <v>3.82</v>
      </c>
      <c r="L21" s="2913">
        <v>1.68</v>
      </c>
      <c r="N21" s="2900">
        <f t="shared" si="138"/>
        <v>3.4000000000000002E-2</v>
      </c>
      <c r="O21" s="2918">
        <f t="shared" si="148"/>
        <v>0.02</v>
      </c>
      <c r="P21" s="2918">
        <f t="shared" si="149"/>
        <v>3.8199999999999998E-2</v>
      </c>
      <c r="Q21" s="2918">
        <f t="shared" si="150"/>
        <v>1.6799999999999999E-2</v>
      </c>
      <c r="S21" s="2900"/>
      <c r="T21" s="2886"/>
      <c r="U21" s="2886"/>
      <c r="V21" s="2886"/>
      <c r="X21" s="2885">
        <f>ROUND(SUMPRODUCT(PRODUCT(1+N21:N$34)),4)</f>
        <v>1.4033</v>
      </c>
      <c r="Y21" s="2885">
        <f>ROUND(SUMPRODUCT(PRODUCT(1+O21:O$34)),4)</f>
        <v>1.2491000000000001</v>
      </c>
      <c r="Z21" s="2885">
        <f t="shared" si="66"/>
        <v>1.2491000000000001</v>
      </c>
      <c r="AA21" s="2885">
        <f>ROUND(SUMPRODUCT(PRODUCT(1+P21:P$34)),4)</f>
        <v>1.4581999999999999</v>
      </c>
      <c r="AB21" s="2885">
        <f>ROUND(SUMPRODUCT(PRODUCT(1+Q21:Q$34)),4)</f>
        <v>1.2093</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2563</v>
      </c>
      <c r="B22" s="2898">
        <f t="shared" si="146"/>
        <v>405.524</v>
      </c>
      <c r="C22" s="2898">
        <f t="shared" si="146"/>
        <v>307.79840000000002</v>
      </c>
      <c r="D22" s="2898">
        <f t="shared" si="135"/>
        <v>307.79840000000002</v>
      </c>
      <c r="E22" s="2898">
        <f t="shared" si="147"/>
        <v>574.67759999999998</v>
      </c>
      <c r="F22" s="2898">
        <f t="shared" si="147"/>
        <v>270.20280000000002</v>
      </c>
      <c r="G22" s="3536"/>
      <c r="H22" s="2899">
        <v>1</v>
      </c>
      <c r="I22" s="2899">
        <v>3.45</v>
      </c>
      <c r="J22" s="2899">
        <v>1.92</v>
      </c>
      <c r="K22" s="2899">
        <v>3.92</v>
      </c>
      <c r="L22" s="2905">
        <v>1.58</v>
      </c>
      <c r="M22" s="2885"/>
      <c r="N22" s="2902">
        <f t="shared" si="138"/>
        <v>3.4500000000000003E-2</v>
      </c>
      <c r="O22" s="2903">
        <f t="shared" ref="O22" si="151">J22/100</f>
        <v>1.9199999999999998E-2</v>
      </c>
      <c r="P22" s="2903">
        <f t="shared" ref="P22" si="152">K22/100</f>
        <v>3.9199999999999999E-2</v>
      </c>
      <c r="Q22" s="2903">
        <f t="shared" ref="Q22" si="153">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ROUND(SUMPRODUCT(PRODUCT(1+N22:N$34)),4)</f>
        <v>1.3571</v>
      </c>
      <c r="Y22" s="2885">
        <f>ROUND(SUMPRODUCT(PRODUCT(1+O22:O$34)),4)</f>
        <v>1.2245999999999999</v>
      </c>
      <c r="Z22" s="2885">
        <f t="shared" si="66"/>
        <v>1.2245999999999999</v>
      </c>
      <c r="AA22" s="2885">
        <f>ROUND(SUMPRODUCT(PRODUCT(1+P22:P$34)),4)</f>
        <v>1.4046000000000001</v>
      </c>
      <c r="AB22" s="2885">
        <f>ROUND(SUMPRODUCT(PRODUCT(1+Q22:Q$34)),4)</f>
        <v>1.1893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961</v>
      </c>
      <c r="B23" s="2919">
        <v>392</v>
      </c>
      <c r="C23" s="2919">
        <v>302</v>
      </c>
      <c r="D23" s="2919">
        <f t="shared" si="135"/>
        <v>302</v>
      </c>
      <c r="E23" s="2919">
        <v>553</v>
      </c>
      <c r="F23" s="2920">
        <v>266</v>
      </c>
      <c r="G23" s="3534">
        <v>2016</v>
      </c>
      <c r="H23" s="2906">
        <v>4</v>
      </c>
      <c r="I23" s="2906">
        <v>4.5599999999999996</v>
      </c>
      <c r="J23" s="2906">
        <v>2.15</v>
      </c>
      <c r="K23" s="2906">
        <v>5.32</v>
      </c>
      <c r="L23" s="2907">
        <v>1.57</v>
      </c>
      <c r="N23" s="2900">
        <f t="shared" si="138"/>
        <v>4.5599999999999995E-2</v>
      </c>
      <c r="O23" s="2886">
        <f t="shared" ref="O23:Q38" si="154">J23/100</f>
        <v>2.1499999999999998E-2</v>
      </c>
      <c r="P23" s="2886">
        <f t="shared" si="154"/>
        <v>5.3200000000000004E-2</v>
      </c>
      <c r="Q23" s="2886">
        <f t="shared" si="154"/>
        <v>1.5700000000000002E-2</v>
      </c>
      <c r="R23" s="2901"/>
      <c r="S23" s="2910"/>
      <c r="T23" s="2911"/>
      <c r="U23" s="2911"/>
      <c r="V23" s="2911"/>
      <c r="X23" s="2885">
        <f>ROUND(SUMPRODUCT(PRODUCT(1+N23:N$34)),4)</f>
        <v>1.3119000000000001</v>
      </c>
      <c r="Y23" s="2885">
        <f>ROUND(SUMPRODUCT(PRODUCT(1+O23:O$34)),4)</f>
        <v>1.2016</v>
      </c>
      <c r="Z23" s="2885">
        <f t="shared" si="66"/>
        <v>1.2016</v>
      </c>
      <c r="AA23" s="2885">
        <f>ROUND(SUMPRODUCT(PRODUCT(1+P23:P$34)),4)</f>
        <v>1.3515999999999999</v>
      </c>
      <c r="AB23" s="2885">
        <f>ROUND(SUMPRODUCT(PRODUCT(1+Q23:Q$34)),4)</f>
        <v>1.1708000000000001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960</v>
      </c>
      <c r="B24" s="2898">
        <f t="shared" ref="B24:C26" si="155">B23/(1+N23)</f>
        <v>374.90436113236416</v>
      </c>
      <c r="C24" s="2898">
        <f t="shared" si="155"/>
        <v>295.64366128242779</v>
      </c>
      <c r="D24" s="2898">
        <f t="shared" ref="D24:D83" si="156">C24</f>
        <v>295.64366128242779</v>
      </c>
      <c r="E24" s="2898">
        <f t="shared" ref="E24:F26" si="157">E23/(1+P23)</f>
        <v>525.06646410938095</v>
      </c>
      <c r="F24" s="2898">
        <f t="shared" si="157"/>
        <v>261.88835286009646</v>
      </c>
      <c r="G24" s="3535"/>
      <c r="H24" s="2899">
        <v>3</v>
      </c>
      <c r="I24" s="2899">
        <v>4.12</v>
      </c>
      <c r="J24" s="2899">
        <v>2</v>
      </c>
      <c r="K24" s="2899">
        <v>4.79</v>
      </c>
      <c r="L24" s="2905">
        <v>1.97</v>
      </c>
      <c r="N24" s="2900">
        <f t="shared" ref="N24:Q58" si="158">I24/100</f>
        <v>4.1200000000000001E-2</v>
      </c>
      <c r="O24" s="2886">
        <f t="shared" si="154"/>
        <v>0.02</v>
      </c>
      <c r="P24" s="2886">
        <f t="shared" si="154"/>
        <v>4.7899999999999998E-2</v>
      </c>
      <c r="Q24" s="2886">
        <f t="shared" si="154"/>
        <v>1.9699999999999999E-2</v>
      </c>
      <c r="R24" s="2901"/>
      <c r="S24" s="2900"/>
      <c r="T24" s="2886"/>
      <c r="U24" s="2886"/>
      <c r="V24" s="2886"/>
      <c r="X24" s="2885">
        <f>ROUND(SUMPRODUCT(PRODUCT(1+N24:N$34)),4)</f>
        <v>1.2546999999999999</v>
      </c>
      <c r="Y24" s="2885">
        <f>ROUND(SUMPRODUCT(PRODUCT(1+O24:O$34)),4)</f>
        <v>1.1762999999999999</v>
      </c>
      <c r="Z24" s="2885">
        <f t="shared" si="66"/>
        <v>1.1762999999999999</v>
      </c>
      <c r="AA24" s="2885">
        <f>ROUND(SUMPRODUCT(PRODUCT(1+P24:P$34)),4)</f>
        <v>1.2833000000000001</v>
      </c>
      <c r="AB24" s="2885">
        <f>ROUND(SUMPRODUCT(PRODUCT(1+Q24:Q$34)),4)</f>
        <v>1.1527000000000001</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950</v>
      </c>
      <c r="B25" s="2898">
        <f t="shared" si="155"/>
        <v>360.06949782209392</v>
      </c>
      <c r="C25" s="2898">
        <f t="shared" si="155"/>
        <v>289.84672674747821</v>
      </c>
      <c r="D25" s="2898">
        <f t="shared" si="156"/>
        <v>289.84672674747821</v>
      </c>
      <c r="E25" s="2898">
        <f t="shared" si="157"/>
        <v>501.06543001181495</v>
      </c>
      <c r="F25" s="2898">
        <f t="shared" si="157"/>
        <v>256.82882500744967</v>
      </c>
      <c r="G25" s="3535"/>
      <c r="H25" s="2912">
        <v>2</v>
      </c>
      <c r="I25" s="2912">
        <v>3.85</v>
      </c>
      <c r="J25" s="2912">
        <v>1.95</v>
      </c>
      <c r="K25" s="2912">
        <v>4.4800000000000004</v>
      </c>
      <c r="L25" s="2913">
        <v>1.41</v>
      </c>
      <c r="N25" s="2900">
        <f t="shared" si="158"/>
        <v>3.85E-2</v>
      </c>
      <c r="O25" s="2886">
        <f t="shared" si="154"/>
        <v>1.95E-2</v>
      </c>
      <c r="P25" s="2886">
        <f t="shared" si="154"/>
        <v>4.4800000000000006E-2</v>
      </c>
      <c r="Q25" s="2886">
        <f t="shared" si="154"/>
        <v>1.41E-2</v>
      </c>
      <c r="R25" s="2901"/>
      <c r="S25" s="2900"/>
      <c r="T25" s="2886"/>
      <c r="U25" s="2886"/>
      <c r="V25" s="2886"/>
      <c r="X25" s="2885">
        <f>ROUND(SUMPRODUCT(PRODUCT(1+N25:N$34)),4)</f>
        <v>1.2050000000000001</v>
      </c>
      <c r="Y25" s="2885">
        <f>ROUND(SUMPRODUCT(PRODUCT(1+O25:O$34)),4)</f>
        <v>1.1532</v>
      </c>
      <c r="Z25" s="2885">
        <f t="shared" si="66"/>
        <v>1.1532</v>
      </c>
      <c r="AA25" s="2885">
        <f>ROUND(SUMPRODUCT(PRODUCT(1+P25:P$34)),4)</f>
        <v>1.2246999999999999</v>
      </c>
      <c r="AB25" s="2885">
        <f>ROUND(SUMPRODUCT(PRODUCT(1+Q25:Q$34)),4)</f>
        <v>1.1304000000000001</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959</v>
      </c>
      <c r="B26" s="2898">
        <f t="shared" si="155"/>
        <v>346.720748986128</v>
      </c>
      <c r="C26" s="2898">
        <f t="shared" si="155"/>
        <v>284.30282172386285</v>
      </c>
      <c r="D26" s="2898">
        <f t="shared" si="156"/>
        <v>284.30282172386285</v>
      </c>
      <c r="E26" s="2898">
        <f t="shared" si="157"/>
        <v>479.58023546306947</v>
      </c>
      <c r="F26" s="2898">
        <f t="shared" si="157"/>
        <v>253.25788877571213</v>
      </c>
      <c r="G26" s="3538"/>
      <c r="H26" s="2899">
        <v>1</v>
      </c>
      <c r="I26" s="2899">
        <v>4.09</v>
      </c>
      <c r="J26" s="2899">
        <v>2.93</v>
      </c>
      <c r="K26" s="2899">
        <v>4.54</v>
      </c>
      <c r="L26" s="2905">
        <v>1.48</v>
      </c>
      <c r="N26" s="2900">
        <f t="shared" si="158"/>
        <v>4.0899999999999999E-2</v>
      </c>
      <c r="O26" s="2886">
        <f t="shared" si="154"/>
        <v>2.9300000000000003E-2</v>
      </c>
      <c r="P26" s="2886">
        <f t="shared" si="154"/>
        <v>4.5400000000000003E-2</v>
      </c>
      <c r="Q26" s="2886">
        <f t="shared" si="154"/>
        <v>1.4800000000000001E-2</v>
      </c>
      <c r="R26" s="2901"/>
      <c r="S26" s="2902">
        <f>B26/B27-1</f>
        <v>4.1203450408792808E-2</v>
      </c>
      <c r="T26" s="2903">
        <f>C26/C27-1</f>
        <v>2.6363977342465095E-2</v>
      </c>
      <c r="U26" s="2903">
        <f>E26/E27-1</f>
        <v>4.4837114298626357E-2</v>
      </c>
      <c r="V26" s="2903">
        <f>F26/F27-1</f>
        <v>1.7099954922538574E-2</v>
      </c>
      <c r="X26" s="2885">
        <f>ROUND(SUMPRODUCT(PRODUCT(1+N26:N$34)),4)</f>
        <v>1.1604000000000001</v>
      </c>
      <c r="Y26" s="2885">
        <f>ROUND(SUMPRODUCT(PRODUCT(1+O26:O$34)),4)</f>
        <v>1.1312</v>
      </c>
      <c r="Z26" s="2885">
        <f t="shared" si="66"/>
        <v>1.1312</v>
      </c>
      <c r="AA26" s="2885">
        <f>ROUND(SUMPRODUCT(PRODUCT(1+P26:P$34)),4)</f>
        <v>1.1721999999999999</v>
      </c>
      <c r="AB26" s="2885">
        <f>ROUND(SUMPRODUCT(PRODUCT(1+Q26:Q$34)),4)</f>
        <v>1.1147</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958</v>
      </c>
      <c r="B27" s="2919">
        <v>333</v>
      </c>
      <c r="C27" s="2919">
        <v>277</v>
      </c>
      <c r="D27" s="2919">
        <f t="shared" si="156"/>
        <v>277</v>
      </c>
      <c r="E27" s="2919">
        <v>459</v>
      </c>
      <c r="F27" s="2920">
        <v>249</v>
      </c>
      <c r="G27" s="3537">
        <v>2015</v>
      </c>
      <c r="H27" s="2921">
        <v>4</v>
      </c>
      <c r="I27" s="2921">
        <v>1.63</v>
      </c>
      <c r="J27" s="2921">
        <v>1.1100000000000001</v>
      </c>
      <c r="K27" s="2921">
        <v>1.77</v>
      </c>
      <c r="L27" s="2922">
        <v>1.89</v>
      </c>
      <c r="N27" s="2916">
        <f t="shared" si="158"/>
        <v>1.6299999999999999E-2</v>
      </c>
      <c r="O27" s="2917">
        <f t="shared" si="154"/>
        <v>1.11E-2</v>
      </c>
      <c r="P27" s="2917">
        <f t="shared" si="154"/>
        <v>1.77E-2</v>
      </c>
      <c r="Q27" s="2917">
        <f t="shared" si="154"/>
        <v>1.89E-2</v>
      </c>
      <c r="R27" s="2901"/>
      <c r="X27" s="2885">
        <f>ROUND(SUMPRODUCT(PRODUCT(1+N27:N$34)),4)</f>
        <v>1.1148</v>
      </c>
      <c r="Y27" s="2885">
        <f>ROUND(SUMPRODUCT(PRODUCT(1+O27:O$34)),4)</f>
        <v>1.099</v>
      </c>
      <c r="Z27" s="2885">
        <f t="shared" si="66"/>
        <v>1.099</v>
      </c>
      <c r="AA27" s="2885">
        <f>ROUND(SUMPRODUCT(PRODUCT(1+P27:P$34)),4)</f>
        <v>1.1213</v>
      </c>
      <c r="AB27" s="2885">
        <f>ROUND(SUMPRODUCT(PRODUCT(1+Q27:Q$34)),4)</f>
        <v>1.0984</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957</v>
      </c>
      <c r="B28" s="2898">
        <f t="shared" ref="B28:C30" si="159">B27/(1+N27)</f>
        <v>327.65915576109415</v>
      </c>
      <c r="C28" s="2898">
        <f t="shared" si="159"/>
        <v>273.95905449510434</v>
      </c>
      <c r="D28" s="2898">
        <f t="shared" si="156"/>
        <v>273.95905449510434</v>
      </c>
      <c r="E28" s="2898">
        <f t="shared" ref="E28:F30" si="160">E27/(1+P27)</f>
        <v>451.01699911565294</v>
      </c>
      <c r="F28" s="2898">
        <f t="shared" si="160"/>
        <v>244.38119540681129</v>
      </c>
      <c r="G28" s="3535"/>
      <c r="H28" s="2924">
        <v>3</v>
      </c>
      <c r="I28" s="2924">
        <v>1.65</v>
      </c>
      <c r="J28" s="2924">
        <v>0.92</v>
      </c>
      <c r="K28" s="2924">
        <v>1.88</v>
      </c>
      <c r="L28" s="2925">
        <v>1.26</v>
      </c>
      <c r="N28" s="2900">
        <f t="shared" si="158"/>
        <v>1.6500000000000001E-2</v>
      </c>
      <c r="O28" s="2918">
        <f t="shared" si="154"/>
        <v>9.1999999999999998E-3</v>
      </c>
      <c r="P28" s="2918">
        <f t="shared" si="154"/>
        <v>1.8799999999999997E-2</v>
      </c>
      <c r="Q28" s="2918">
        <f t="shared" si="154"/>
        <v>1.26E-2</v>
      </c>
      <c r="R28" s="2901"/>
      <c r="S28" s="2900"/>
      <c r="T28" s="2886"/>
      <c r="U28" s="2886"/>
      <c r="V28" s="2886"/>
      <c r="X28" s="2885">
        <f>ROUND(SUMPRODUCT(PRODUCT(1+N28:N$34)),4)</f>
        <v>1.0969</v>
      </c>
      <c r="Y28" s="2885">
        <f>ROUND(SUMPRODUCT(PRODUCT(1+O28:O$34)),4)</f>
        <v>1.0869</v>
      </c>
      <c r="Z28" s="2885">
        <f t="shared" si="66"/>
        <v>1.0869</v>
      </c>
      <c r="AA28" s="2885">
        <f>ROUND(SUMPRODUCT(PRODUCT(1+P28:P$34)),4)</f>
        <v>1.1017999999999999</v>
      </c>
      <c r="AB28" s="2885">
        <f>ROUND(SUMPRODUCT(PRODUCT(1+Q28:Q$34)),4)</f>
        <v>1.0781000000000001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956</v>
      </c>
      <c r="B29" s="2898">
        <f t="shared" si="159"/>
        <v>322.34053690220776</v>
      </c>
      <c r="C29" s="2898">
        <f t="shared" si="159"/>
        <v>271.46160770422546</v>
      </c>
      <c r="D29" s="2898">
        <f t="shared" si="156"/>
        <v>271.46160770422546</v>
      </c>
      <c r="E29" s="2898">
        <f t="shared" si="160"/>
        <v>442.69434542172456</v>
      </c>
      <c r="F29" s="2898">
        <f t="shared" si="160"/>
        <v>241.34030753190925</v>
      </c>
      <c r="G29" s="3535"/>
      <c r="H29" s="2912">
        <v>2</v>
      </c>
      <c r="I29" s="2912">
        <v>0.77</v>
      </c>
      <c r="J29" s="2912">
        <v>0.69</v>
      </c>
      <c r="K29" s="2912">
        <v>0.8</v>
      </c>
      <c r="L29" s="2913">
        <v>0.88</v>
      </c>
      <c r="N29" s="2900">
        <f t="shared" si="158"/>
        <v>7.7000000000000002E-3</v>
      </c>
      <c r="O29" s="2918">
        <f t="shared" si="154"/>
        <v>6.8999999999999999E-3</v>
      </c>
      <c r="P29" s="2918">
        <f t="shared" si="154"/>
        <v>8.0000000000000002E-3</v>
      </c>
      <c r="Q29" s="2918">
        <f t="shared" si="154"/>
        <v>8.8000000000000005E-3</v>
      </c>
      <c r="R29" s="2901"/>
      <c r="S29" s="2900"/>
      <c r="T29" s="2886"/>
      <c r="U29" s="2886"/>
      <c r="V29" s="2886"/>
      <c r="X29" s="2885">
        <f>ROUND(SUMPRODUCT(PRODUCT(1+N29:N$34)),4)</f>
        <v>1.0790999999999999</v>
      </c>
      <c r="Y29" s="2885">
        <f>ROUND(SUMPRODUCT(PRODUCT(1+O29:O$34)),4)</f>
        <v>1.077</v>
      </c>
      <c r="Z29" s="2885">
        <f t="shared" si="66"/>
        <v>1.077</v>
      </c>
      <c r="AA29" s="2885">
        <f>ROUND(SUMPRODUCT(PRODUCT(1+P29:P$34)),4)</f>
        <v>1.0813999999999999</v>
      </c>
      <c r="AB29" s="2885">
        <f>ROUND(SUMPRODUCT(PRODUCT(1+Q29:Q$34)),4)</f>
        <v>1.0647</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955</v>
      </c>
      <c r="B30" s="2898">
        <f t="shared" si="159"/>
        <v>319.87748030386797</v>
      </c>
      <c r="C30" s="2898">
        <f t="shared" si="159"/>
        <v>269.60135833173649</v>
      </c>
      <c r="D30" s="2898">
        <f t="shared" si="156"/>
        <v>269.60135833173649</v>
      </c>
      <c r="E30" s="2898">
        <f t="shared" si="160"/>
        <v>439.18089823583784</v>
      </c>
      <c r="F30" s="2898">
        <f t="shared" si="160"/>
        <v>239.23503918706311</v>
      </c>
      <c r="G30" s="3538"/>
      <c r="H30" s="2899">
        <v>1</v>
      </c>
      <c r="I30" s="2899">
        <v>0.51</v>
      </c>
      <c r="J30" s="2899">
        <v>0.54</v>
      </c>
      <c r="K30" s="2899">
        <v>0.48</v>
      </c>
      <c r="L30" s="2905">
        <v>0.93</v>
      </c>
      <c r="N30" s="2902">
        <f t="shared" si="158"/>
        <v>5.1000000000000004E-3</v>
      </c>
      <c r="O30" s="2903">
        <f t="shared" si="154"/>
        <v>5.4000000000000003E-3</v>
      </c>
      <c r="P30" s="2903">
        <f t="shared" si="154"/>
        <v>4.7999999999999996E-3</v>
      </c>
      <c r="Q30" s="2903">
        <f t="shared" si="154"/>
        <v>9.300000000000001E-3</v>
      </c>
      <c r="R30" s="2901"/>
      <c r="S30" s="2902">
        <f>B30/B31-1</f>
        <v>5.9040261127922822E-3</v>
      </c>
      <c r="T30" s="2903">
        <f>C30/C31-1</f>
        <v>5.9752176557332781E-3</v>
      </c>
      <c r="U30" s="2903">
        <f>E30/E31-1</f>
        <v>4.9906138119859556E-3</v>
      </c>
      <c r="V30" s="2903">
        <f>F30/F31-1</f>
        <v>9.4305450930933787E-3</v>
      </c>
      <c r="X30" s="2885">
        <f>ROUND(SUMPRODUCT(PRODUCT(1+N30:N$34)),4)</f>
        <v>1.0708</v>
      </c>
      <c r="Y30" s="2885">
        <f>ROUND(SUMPRODUCT(PRODUCT(1+O30:O$34)),4)</f>
        <v>1.0696000000000001</v>
      </c>
      <c r="Z30" s="2885">
        <f t="shared" si="66"/>
        <v>1.0696000000000001</v>
      </c>
      <c r="AA30" s="2885">
        <f>ROUND(SUMPRODUCT(PRODUCT(1+P30:P$34)),4)</f>
        <v>1.0728</v>
      </c>
      <c r="AB30" s="2885">
        <f>ROUND(SUMPRODUCT(PRODUCT(1+Q30:Q$34)),4)</f>
        <v>1.0553999999999999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954</v>
      </c>
      <c r="B31" s="2926">
        <v>318</v>
      </c>
      <c r="C31" s="2926">
        <v>268</v>
      </c>
      <c r="D31" s="2926">
        <f t="shared" si="156"/>
        <v>268</v>
      </c>
      <c r="E31" s="2926">
        <v>437</v>
      </c>
      <c r="F31" s="2927">
        <v>237</v>
      </c>
      <c r="G31" s="3537">
        <v>2014</v>
      </c>
      <c r="H31" s="2921">
        <v>4</v>
      </c>
      <c r="I31" s="2921">
        <v>0.21</v>
      </c>
      <c r="J31" s="2921">
        <v>0.41</v>
      </c>
      <c r="K31" s="2921">
        <v>0.12</v>
      </c>
      <c r="L31" s="2922">
        <v>0.89</v>
      </c>
      <c r="N31" s="2900">
        <f t="shared" si="158"/>
        <v>2.0999999999999999E-3</v>
      </c>
      <c r="O31" s="2886">
        <f t="shared" si="154"/>
        <v>4.0999999999999995E-3</v>
      </c>
      <c r="P31" s="2886">
        <f t="shared" si="154"/>
        <v>1.1999999999999999E-3</v>
      </c>
      <c r="Q31" s="2886">
        <f t="shared" si="154"/>
        <v>8.8999999999999999E-3</v>
      </c>
      <c r="R31" s="2901"/>
      <c r="S31" s="2910"/>
      <c r="T31" s="2911"/>
      <c r="U31" s="2911"/>
      <c r="V31" s="2911"/>
      <c r="X31" s="2885">
        <f>ROUND(SUMPRODUCT(PRODUCT(1+N31:N$34)),4)</f>
        <v>1.0653999999999999</v>
      </c>
      <c r="Y31" s="2885">
        <f>ROUND(SUMPRODUCT(PRODUCT(1+O31:O$34)),4)</f>
        <v>1.0639000000000001</v>
      </c>
      <c r="Z31" s="2885">
        <f t="shared" si="66"/>
        <v>1.0639000000000001</v>
      </c>
      <c r="AA31" s="2885">
        <f>ROUND(SUMPRODUCT(PRODUCT(1+P31:P$34)),4)</f>
        <v>1.0677000000000001</v>
      </c>
      <c r="AB31" s="2885">
        <f>ROUND(SUMPRODUCT(PRODUCT(1+Q31:Q$34)),4)</f>
        <v>1.0456000000000001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953</v>
      </c>
      <c r="B32" s="2898">
        <f t="shared" ref="B32:C34" si="161">B31/(1+N31)</f>
        <v>317.33359944117353</v>
      </c>
      <c r="C32" s="2898">
        <f t="shared" si="161"/>
        <v>266.90568668459315</v>
      </c>
      <c r="D32" s="2898">
        <f t="shared" si="156"/>
        <v>266.90568668459315</v>
      </c>
      <c r="E32" s="2898">
        <f t="shared" ref="E32:F34" si="162">E31/(1+P31)</f>
        <v>436.47622852576905</v>
      </c>
      <c r="F32" s="2898">
        <f t="shared" si="162"/>
        <v>234.90930716622066</v>
      </c>
      <c r="G32" s="3535"/>
      <c r="H32" s="2928">
        <v>3</v>
      </c>
      <c r="I32" s="2928">
        <v>0.83</v>
      </c>
      <c r="J32" s="2928">
        <v>1.47</v>
      </c>
      <c r="K32" s="2928">
        <v>0.65</v>
      </c>
      <c r="L32" s="2929">
        <v>0.72</v>
      </c>
      <c r="N32" s="2900">
        <f t="shared" si="158"/>
        <v>8.3000000000000001E-3</v>
      </c>
      <c r="O32" s="2886">
        <f t="shared" si="154"/>
        <v>1.47E-2</v>
      </c>
      <c r="P32" s="2886">
        <f t="shared" si="154"/>
        <v>6.5000000000000006E-3</v>
      </c>
      <c r="Q32" s="2886">
        <f t="shared" si="154"/>
        <v>7.1999999999999998E-3</v>
      </c>
      <c r="R32" s="2901"/>
      <c r="S32" s="2900"/>
      <c r="T32" s="2886"/>
      <c r="U32" s="2886"/>
      <c r="V32" s="2886"/>
      <c r="X32" s="2885">
        <f>ROUND(SUMPRODUCT(PRODUCT(1+N32:N$34)),4)</f>
        <v>1.0631999999999999</v>
      </c>
      <c r="Y32" s="2885">
        <f>ROUND(SUMPRODUCT(PRODUCT(1+O32:O$34)),4)</f>
        <v>1.0595000000000001</v>
      </c>
      <c r="Z32" s="2885">
        <f t="shared" si="66"/>
        <v>1.0595000000000001</v>
      </c>
      <c r="AA32" s="2885">
        <f>ROUND(SUMPRODUCT(PRODUCT(1+P32:P$34)),4)</f>
        <v>1.0664</v>
      </c>
      <c r="AB32" s="2885">
        <f>ROUND(SUMPRODUCT(PRODUCT(1+Q32:Q$34)),4)</f>
        <v>1.0364</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952</v>
      </c>
      <c r="B33" s="2898">
        <f t="shared" si="161"/>
        <v>314.72141172386546</v>
      </c>
      <c r="C33" s="2898">
        <f t="shared" si="161"/>
        <v>263.03901319069001</v>
      </c>
      <c r="D33" s="2898">
        <f t="shared" si="156"/>
        <v>263.03901319069001</v>
      </c>
      <c r="E33" s="2898">
        <f t="shared" si="162"/>
        <v>433.65745506782821</v>
      </c>
      <c r="F33" s="2898">
        <f t="shared" si="162"/>
        <v>233.23005080045735</v>
      </c>
      <c r="G33" s="3535"/>
      <c r="H33" s="2921">
        <v>2</v>
      </c>
      <c r="I33" s="2921">
        <v>2.4</v>
      </c>
      <c r="J33" s="2921">
        <v>2.0299999999999998</v>
      </c>
      <c r="K33" s="2921">
        <v>2.59</v>
      </c>
      <c r="L33" s="2922">
        <v>1.52</v>
      </c>
      <c r="N33" s="2900">
        <f t="shared" si="158"/>
        <v>2.4E-2</v>
      </c>
      <c r="O33" s="2886">
        <f t="shared" si="154"/>
        <v>2.0299999999999999E-2</v>
      </c>
      <c r="P33" s="2886">
        <f t="shared" si="154"/>
        <v>2.5899999999999999E-2</v>
      </c>
      <c r="Q33" s="2886">
        <f t="shared" si="154"/>
        <v>1.52E-2</v>
      </c>
      <c r="R33" s="2901"/>
      <c r="S33" s="2900"/>
      <c r="T33" s="2886"/>
      <c r="U33" s="2886"/>
      <c r="V33" s="2886"/>
      <c r="X33" s="2885">
        <f>ROUND(SUMPRODUCT(PRODUCT(1+N33:N$34)),4)</f>
        <v>1.0544</v>
      </c>
      <c r="Y33" s="2885">
        <f>ROUND(SUMPRODUCT(PRODUCT(1+O33:O$34)),4)</f>
        <v>1.0442</v>
      </c>
      <c r="Z33" s="2885">
        <f t="shared" si="66"/>
        <v>1.0442</v>
      </c>
      <c r="AA33" s="2885">
        <f>ROUND(SUMPRODUCT(PRODUCT(1+P33:P$34)),4)</f>
        <v>1.0595000000000001</v>
      </c>
      <c r="AB33" s="2885">
        <f>ROUND(SUMPRODUCT(PRODUCT(1+Q33:Q$34)),4)</f>
        <v>1.0289999999999999</v>
      </c>
      <c r="AD33" s="2886">
        <f>ROUND(AVERAGE(I33:I$34)/100,4)</f>
        <v>2.69E-2</v>
      </c>
      <c r="AE33" s="2886">
        <f>ROUND(AVERAGE(J33:J$34)/100,4)</f>
        <v>2.1899999999999999E-2</v>
      </c>
      <c r="AF33" s="2886">
        <f t="shared" ref="AF33" si="163">AE33</f>
        <v>2.1899999999999999E-2</v>
      </c>
      <c r="AG33" s="2886">
        <f>ROUND(AVERAGE(K33:K$34)/100,4)</f>
        <v>2.9399999999999999E-2</v>
      </c>
      <c r="AH33" s="2886">
        <f>ROUND(AVERAGE(L33:L$34)/100,4)</f>
        <v>1.44E-2</v>
      </c>
    </row>
    <row r="34" spans="1:34" s="2934" customFormat="1" ht="13.5" thickBot="1">
      <c r="A34" s="2930" t="s">
        <v>951</v>
      </c>
      <c r="B34" s="2931">
        <f t="shared" si="161"/>
        <v>307.34512863658733</v>
      </c>
      <c r="C34" s="2931">
        <f t="shared" si="161"/>
        <v>257.80556031626975</v>
      </c>
      <c r="D34" s="2931">
        <f t="shared" si="156"/>
        <v>257.80556031626975</v>
      </c>
      <c r="E34" s="2931">
        <f t="shared" si="162"/>
        <v>422.70928459677179</v>
      </c>
      <c r="F34" s="2931">
        <f t="shared" si="162"/>
        <v>229.73803270336617</v>
      </c>
      <c r="G34" s="3538"/>
      <c r="H34" s="2932">
        <v>1</v>
      </c>
      <c r="I34" s="2932">
        <v>2.97</v>
      </c>
      <c r="J34" s="2932">
        <v>2.34</v>
      </c>
      <c r="K34" s="2932">
        <v>3.28</v>
      </c>
      <c r="L34" s="2933">
        <v>1.36</v>
      </c>
      <c r="N34" s="2935">
        <f t="shared" si="158"/>
        <v>2.9700000000000001E-2</v>
      </c>
      <c r="O34" s="2936">
        <f t="shared" si="154"/>
        <v>2.3399999999999997E-2</v>
      </c>
      <c r="P34" s="2936">
        <f t="shared" si="154"/>
        <v>3.2799999999999996E-2</v>
      </c>
      <c r="Q34" s="2936">
        <f t="shared" si="154"/>
        <v>1.3600000000000001E-2</v>
      </c>
      <c r="R34" s="2937"/>
      <c r="S34" s="2938">
        <f>B34/B35-1</f>
        <v>2.7910129219355539E-2</v>
      </c>
      <c r="T34" s="2939">
        <f>C34/C35-1</f>
        <v>2.3037937762975247E-2</v>
      </c>
      <c r="U34" s="2939">
        <f>E34/E35-1</f>
        <v>3.3519033243940788E-2</v>
      </c>
      <c r="V34" s="2939">
        <f>F34/F35-1</f>
        <v>1.2061818076502862E-2</v>
      </c>
      <c r="W34" s="2940" t="s">
        <v>2621</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2564</v>
      </c>
      <c r="B35" s="2919">
        <v>299</v>
      </c>
      <c r="C35" s="2919">
        <v>252</v>
      </c>
      <c r="D35" s="2919">
        <f t="shared" si="156"/>
        <v>252</v>
      </c>
      <c r="E35" s="2919">
        <v>409</v>
      </c>
      <c r="F35" s="2920">
        <v>227</v>
      </c>
      <c r="G35" s="3542">
        <v>2013</v>
      </c>
      <c r="H35" s="2942">
        <v>4</v>
      </c>
      <c r="I35" s="2942">
        <v>1.83</v>
      </c>
      <c r="J35" s="2942">
        <v>1.68</v>
      </c>
      <c r="K35" s="2942">
        <v>1.97</v>
      </c>
      <c r="L35" s="2943">
        <v>0.87</v>
      </c>
      <c r="N35" s="2916">
        <f t="shared" si="158"/>
        <v>1.83E-2</v>
      </c>
      <c r="O35" s="2917">
        <f t="shared" si="154"/>
        <v>1.6799999999999999E-2</v>
      </c>
      <c r="P35" s="2917">
        <f t="shared" si="154"/>
        <v>1.9699999999999999E-2</v>
      </c>
      <c r="Q35" s="2917">
        <f t="shared" si="154"/>
        <v>8.6999999999999994E-3</v>
      </c>
      <c r="R35" s="2901"/>
      <c r="S35" s="2910"/>
      <c r="T35" s="2911"/>
      <c r="U35" s="2911"/>
      <c r="V35" s="2911"/>
      <c r="X35" s="2911"/>
      <c r="Y35" s="2911"/>
      <c r="Z35" s="2911"/>
    </row>
    <row r="36" spans="1:34">
      <c r="A36" s="2897" t="s">
        <v>2565</v>
      </c>
      <c r="B36" s="2898">
        <f t="shared" ref="B36:C38" si="164">B35/(1+N35)</f>
        <v>293.62663262299913</v>
      </c>
      <c r="C36" s="2898">
        <f t="shared" si="164"/>
        <v>247.83634933123525</v>
      </c>
      <c r="D36" s="2898">
        <f t="shared" si="156"/>
        <v>247.83634933123525</v>
      </c>
      <c r="E36" s="2898">
        <f t="shared" ref="E36:F38" si="165">E35/(1+P35)</f>
        <v>401.09836226341076</v>
      </c>
      <c r="F36" s="2898">
        <f t="shared" si="165"/>
        <v>225.04213343908003</v>
      </c>
      <c r="G36" s="3543"/>
      <c r="H36" s="2924">
        <v>3</v>
      </c>
      <c r="I36" s="2924">
        <v>1.86</v>
      </c>
      <c r="J36" s="2924">
        <v>1.72</v>
      </c>
      <c r="K36" s="2924">
        <v>1.98</v>
      </c>
      <c r="L36" s="2925">
        <v>0.88</v>
      </c>
      <c r="N36" s="2900">
        <f t="shared" si="158"/>
        <v>1.8600000000000002E-2</v>
      </c>
      <c r="O36" s="2918">
        <f t="shared" si="154"/>
        <v>1.72E-2</v>
      </c>
      <c r="P36" s="2918">
        <f t="shared" si="154"/>
        <v>1.9799999999999998E-2</v>
      </c>
      <c r="Q36" s="2918">
        <f t="shared" si="154"/>
        <v>8.8000000000000005E-3</v>
      </c>
      <c r="R36" s="2901"/>
      <c r="S36" s="2900"/>
      <c r="T36" s="2886"/>
      <c r="U36" s="2886"/>
      <c r="V36" s="2886"/>
    </row>
    <row r="37" spans="1:34">
      <c r="A37" s="2897" t="s">
        <v>2566</v>
      </c>
      <c r="B37" s="2898">
        <f t="shared" si="164"/>
        <v>288.2649053828776</v>
      </c>
      <c r="C37" s="2898">
        <f t="shared" si="164"/>
        <v>243.64564425013293</v>
      </c>
      <c r="D37" s="2898">
        <f t="shared" si="156"/>
        <v>243.64564425013293</v>
      </c>
      <c r="E37" s="2898">
        <f t="shared" si="165"/>
        <v>393.31080825986544</v>
      </c>
      <c r="F37" s="2898">
        <f t="shared" si="165"/>
        <v>223.07903790551154</v>
      </c>
      <c r="G37" s="3543"/>
      <c r="H37" s="2912">
        <v>2</v>
      </c>
      <c r="I37" s="2912">
        <v>2.04</v>
      </c>
      <c r="J37" s="2912">
        <v>2.33</v>
      </c>
      <c r="K37" s="2912">
        <v>2.0699999999999998</v>
      </c>
      <c r="L37" s="2913">
        <v>0.69</v>
      </c>
      <c r="N37" s="2900">
        <f t="shared" si="158"/>
        <v>2.0400000000000001E-2</v>
      </c>
      <c r="O37" s="2918">
        <f t="shared" si="154"/>
        <v>2.3300000000000001E-2</v>
      </c>
      <c r="P37" s="2918">
        <f t="shared" si="154"/>
        <v>2.07E-2</v>
      </c>
      <c r="Q37" s="2918">
        <f t="shared" si="154"/>
        <v>6.8999999999999999E-3</v>
      </c>
      <c r="R37" s="2901"/>
      <c r="S37" s="2900"/>
      <c r="T37" s="2886"/>
      <c r="U37" s="2886"/>
      <c r="V37" s="2886"/>
      <c r="X37" s="2944"/>
      <c r="Y37" s="2945"/>
    </row>
    <row r="38" spans="1:34">
      <c r="A38" s="2897" t="s">
        <v>2567</v>
      </c>
      <c r="B38" s="2898">
        <f t="shared" si="164"/>
        <v>282.50186729015837</v>
      </c>
      <c r="C38" s="2898">
        <f t="shared" si="164"/>
        <v>238.09796174155468</v>
      </c>
      <c r="D38" s="2898">
        <f t="shared" si="156"/>
        <v>238.09796174155468</v>
      </c>
      <c r="E38" s="2898">
        <f t="shared" si="165"/>
        <v>385.33438646014054</v>
      </c>
      <c r="F38" s="2898">
        <f t="shared" si="165"/>
        <v>221.55034055567739</v>
      </c>
      <c r="G38" s="3544"/>
      <c r="H38" s="2899">
        <v>1</v>
      </c>
      <c r="I38" s="2899">
        <v>1.67</v>
      </c>
      <c r="J38" s="2899">
        <v>1.31</v>
      </c>
      <c r="K38" s="2899">
        <v>1.85</v>
      </c>
      <c r="L38" s="2905">
        <v>0.96</v>
      </c>
      <c r="N38" s="2902">
        <f t="shared" si="158"/>
        <v>1.67E-2</v>
      </c>
      <c r="O38" s="2903">
        <f t="shared" si="154"/>
        <v>1.3100000000000001E-2</v>
      </c>
      <c r="P38" s="2903">
        <f t="shared" si="154"/>
        <v>1.8500000000000003E-2</v>
      </c>
      <c r="Q38" s="2903">
        <f t="shared" si="154"/>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2568</v>
      </c>
      <c r="B39" s="2947">
        <v>278</v>
      </c>
      <c r="C39" s="2947">
        <v>234</v>
      </c>
      <c r="D39" s="2947">
        <f t="shared" si="156"/>
        <v>234</v>
      </c>
      <c r="E39" s="2947">
        <v>379</v>
      </c>
      <c r="F39" s="2948">
        <v>220</v>
      </c>
      <c r="G39" s="3537">
        <v>2012</v>
      </c>
      <c r="H39" s="2921">
        <v>4</v>
      </c>
      <c r="I39" s="2921">
        <v>0.91</v>
      </c>
      <c r="J39" s="2921">
        <v>0.68</v>
      </c>
      <c r="K39" s="2921">
        <v>0.98</v>
      </c>
      <c r="L39" s="2922">
        <v>0.9</v>
      </c>
      <c r="N39" s="2900">
        <f t="shared" si="158"/>
        <v>9.1000000000000004E-3</v>
      </c>
      <c r="O39" s="2886">
        <f t="shared" si="158"/>
        <v>6.8000000000000005E-3</v>
      </c>
      <c r="P39" s="2886">
        <f t="shared" si="158"/>
        <v>9.7999999999999997E-3</v>
      </c>
      <c r="Q39" s="2886">
        <f t="shared" si="158"/>
        <v>9.0000000000000011E-3</v>
      </c>
      <c r="R39" s="2901"/>
      <c r="S39" s="2910"/>
      <c r="T39" s="2911"/>
      <c r="U39" s="2911"/>
      <c r="V39" s="2911"/>
      <c r="X39" s="2911"/>
      <c r="Y39" s="2911"/>
      <c r="Z39" s="2911"/>
    </row>
    <row r="40" spans="1:34">
      <c r="A40" s="2897" t="s">
        <v>2569</v>
      </c>
      <c r="B40" s="2898">
        <f>B39/(1+N39)</f>
        <v>275.49301357645425</v>
      </c>
      <c r="C40" s="2898">
        <f>C39/(1+O39)</f>
        <v>232.41954707985698</v>
      </c>
      <c r="D40" s="2898">
        <f t="shared" si="156"/>
        <v>232.41954707985698</v>
      </c>
      <c r="E40" s="2898">
        <f t="shared" ref="E40:F42" si="166">E39/(1+P39)</f>
        <v>375.32184591008121</v>
      </c>
      <c r="F40" s="2898">
        <f t="shared" si="166"/>
        <v>218.03766105054513</v>
      </c>
      <c r="G40" s="3535"/>
      <c r="H40" s="2924">
        <v>3</v>
      </c>
      <c r="I40" s="2924">
        <v>0.09</v>
      </c>
      <c r="J40" s="2924">
        <v>0.28999999999999998</v>
      </c>
      <c r="K40" s="2924">
        <v>-0.01</v>
      </c>
      <c r="L40" s="2925">
        <v>0.57999999999999996</v>
      </c>
      <c r="N40" s="2900">
        <f t="shared" si="158"/>
        <v>8.9999999999999998E-4</v>
      </c>
      <c r="O40" s="2886">
        <f t="shared" si="158"/>
        <v>2.8999999999999998E-3</v>
      </c>
      <c r="P40" s="2886">
        <f t="shared" si="158"/>
        <v>-1E-4</v>
      </c>
      <c r="Q40" s="2886">
        <f t="shared" si="158"/>
        <v>5.7999999999999996E-3</v>
      </c>
      <c r="R40" s="2901"/>
      <c r="S40" s="2900"/>
      <c r="T40" s="2886"/>
      <c r="U40" s="2886"/>
      <c r="V40" s="2886"/>
    </row>
    <row r="41" spans="1:34">
      <c r="A41" s="2897" t="s">
        <v>2570</v>
      </c>
      <c r="B41" s="2898">
        <f>B40/(1+N40)</f>
        <v>275.24529281292263</v>
      </c>
      <c r="C41" s="2898">
        <f>C40/(1+O40)</f>
        <v>231.74747938962707</v>
      </c>
      <c r="D41" s="2898">
        <f t="shared" si="156"/>
        <v>231.74747938962707</v>
      </c>
      <c r="E41" s="2898">
        <f t="shared" si="166"/>
        <v>375.35938184826603</v>
      </c>
      <c r="F41" s="2898">
        <f t="shared" si="166"/>
        <v>216.78033510692495</v>
      </c>
      <c r="G41" s="3535"/>
      <c r="H41" s="2912">
        <v>2</v>
      </c>
      <c r="I41" s="2912">
        <v>0.02</v>
      </c>
      <c r="J41" s="2912">
        <v>0.12</v>
      </c>
      <c r="K41" s="2912">
        <v>-0.08</v>
      </c>
      <c r="L41" s="2913">
        <v>1.24</v>
      </c>
      <c r="N41" s="2900">
        <f t="shared" si="158"/>
        <v>2.0000000000000001E-4</v>
      </c>
      <c r="O41" s="2886">
        <f t="shared" si="158"/>
        <v>1.1999999999999999E-3</v>
      </c>
      <c r="P41" s="2886">
        <f t="shared" si="158"/>
        <v>-8.0000000000000004E-4</v>
      </c>
      <c r="Q41" s="2886">
        <f t="shared" si="158"/>
        <v>1.24E-2</v>
      </c>
      <c r="R41" s="2901"/>
      <c r="S41" s="2900"/>
      <c r="T41" s="2886"/>
      <c r="U41" s="2886"/>
      <c r="V41" s="2886"/>
    </row>
    <row r="42" spans="1:34" ht="13.5" thickBot="1">
      <c r="A42" s="2897" t="s">
        <v>2571</v>
      </c>
      <c r="B42" s="2898">
        <f>B41/(1+N41)</f>
        <v>275.19025476197027</v>
      </c>
      <c r="C42" s="2949">
        <v>232</v>
      </c>
      <c r="D42" s="2949">
        <f t="shared" si="156"/>
        <v>232</v>
      </c>
      <c r="E42" s="2898">
        <f t="shared" si="166"/>
        <v>375.65990977608692</v>
      </c>
      <c r="F42" s="2898">
        <f t="shared" si="166"/>
        <v>214.12518283971252</v>
      </c>
      <c r="G42" s="3538"/>
      <c r="H42" s="2899">
        <v>1</v>
      </c>
      <c r="I42" s="2899">
        <v>0.02</v>
      </c>
      <c r="J42" s="2899">
        <v>0.13</v>
      </c>
      <c r="K42" s="2899">
        <v>-0.04</v>
      </c>
      <c r="L42" s="2905">
        <v>0.46</v>
      </c>
      <c r="N42" s="2900">
        <f t="shared" si="158"/>
        <v>2.0000000000000001E-4</v>
      </c>
      <c r="O42" s="2886">
        <f t="shared" si="158"/>
        <v>1.2999999999999999E-3</v>
      </c>
      <c r="P42" s="2886">
        <f t="shared" si="158"/>
        <v>-4.0000000000000002E-4</v>
      </c>
      <c r="Q42" s="2886">
        <f t="shared" si="158"/>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2572</v>
      </c>
      <c r="B43" s="2919">
        <v>275</v>
      </c>
      <c r="C43" s="2919">
        <v>232</v>
      </c>
      <c r="D43" s="2919">
        <f t="shared" si="156"/>
        <v>232</v>
      </c>
      <c r="E43" s="2919">
        <v>376</v>
      </c>
      <c r="F43" s="2920">
        <v>213</v>
      </c>
      <c r="G43" s="3537">
        <v>2011</v>
      </c>
      <c r="H43" s="2921">
        <v>4</v>
      </c>
      <c r="I43" s="2921">
        <v>-0.2</v>
      </c>
      <c r="J43" s="2921">
        <v>0.04</v>
      </c>
      <c r="K43" s="2921">
        <v>-0.34</v>
      </c>
      <c r="L43" s="2922">
        <v>0.46</v>
      </c>
      <c r="N43" s="2916">
        <f t="shared" si="158"/>
        <v>-2E-3</v>
      </c>
      <c r="O43" s="2917">
        <f t="shared" si="158"/>
        <v>4.0000000000000002E-4</v>
      </c>
      <c r="P43" s="2917">
        <f t="shared" si="158"/>
        <v>-3.4000000000000002E-3</v>
      </c>
      <c r="Q43" s="2917">
        <f t="shared" si="158"/>
        <v>4.5999999999999999E-3</v>
      </c>
      <c r="R43" s="2901"/>
      <c r="S43" s="2910"/>
      <c r="T43" s="2911"/>
      <c r="U43" s="2911"/>
      <c r="V43" s="2911"/>
      <c r="X43" s="2911"/>
      <c r="Y43" s="2911"/>
      <c r="Z43" s="2911"/>
    </row>
    <row r="44" spans="1:34">
      <c r="A44" s="2897" t="s">
        <v>2573</v>
      </c>
      <c r="B44" s="2898">
        <f t="shared" ref="B44:C46" si="167">B43/(1+N43)</f>
        <v>275.55110220440883</v>
      </c>
      <c r="C44" s="2898">
        <f t="shared" si="167"/>
        <v>231.90723710515795</v>
      </c>
      <c r="D44" s="2898">
        <f t="shared" si="156"/>
        <v>231.90723710515795</v>
      </c>
      <c r="E44" s="2898">
        <f t="shared" ref="E44:F46" si="168">E43/(1+P43)</f>
        <v>377.28276138872161</v>
      </c>
      <c r="F44" s="2898">
        <f t="shared" si="168"/>
        <v>212.02468644236512</v>
      </c>
      <c r="G44" s="3535">
        <v>2011</v>
      </c>
      <c r="H44" s="2924">
        <v>3</v>
      </c>
      <c r="I44" s="2924">
        <v>0.13</v>
      </c>
      <c r="J44" s="2924">
        <v>0.75</v>
      </c>
      <c r="K44" s="2924">
        <v>-0.08</v>
      </c>
      <c r="L44" s="2925">
        <v>0.53</v>
      </c>
      <c r="N44" s="2900">
        <f t="shared" si="158"/>
        <v>1.2999999999999999E-3</v>
      </c>
      <c r="O44" s="2918">
        <f t="shared" si="158"/>
        <v>7.4999999999999997E-3</v>
      </c>
      <c r="P44" s="2918">
        <f t="shared" si="158"/>
        <v>-8.0000000000000004E-4</v>
      </c>
      <c r="Q44" s="2918">
        <f t="shared" si="158"/>
        <v>5.3E-3</v>
      </c>
      <c r="R44" s="2901"/>
      <c r="S44" s="2900"/>
      <c r="T44" s="2886"/>
      <c r="U44" s="2886"/>
      <c r="V44" s="2886"/>
    </row>
    <row r="45" spans="1:34">
      <c r="A45" s="2897" t="s">
        <v>2574</v>
      </c>
      <c r="B45" s="2898">
        <f t="shared" si="167"/>
        <v>275.19335084830601</v>
      </c>
      <c r="C45" s="2898">
        <f t="shared" si="167"/>
        <v>230.18088050139744</v>
      </c>
      <c r="D45" s="2898">
        <f t="shared" si="156"/>
        <v>230.18088050139744</v>
      </c>
      <c r="E45" s="2898">
        <f t="shared" si="168"/>
        <v>377.58482925212331</v>
      </c>
      <c r="F45" s="2898">
        <f t="shared" si="168"/>
        <v>210.90687997847917</v>
      </c>
      <c r="G45" s="3535">
        <v>2011</v>
      </c>
      <c r="H45" s="2912">
        <v>2</v>
      </c>
      <c r="I45" s="2912">
        <v>-0.4</v>
      </c>
      <c r="J45" s="2912">
        <v>0.17</v>
      </c>
      <c r="K45" s="2912">
        <v>-0.57999999999999996</v>
      </c>
      <c r="L45" s="2913">
        <v>-0.2</v>
      </c>
      <c r="N45" s="2900">
        <f t="shared" si="158"/>
        <v>-4.0000000000000001E-3</v>
      </c>
      <c r="O45" s="2918">
        <f t="shared" si="158"/>
        <v>1.7000000000000001E-3</v>
      </c>
      <c r="P45" s="2918">
        <f t="shared" si="158"/>
        <v>-5.7999999999999996E-3</v>
      </c>
      <c r="Q45" s="2918">
        <f t="shared" si="158"/>
        <v>-2E-3</v>
      </c>
      <c r="R45" s="2901"/>
      <c r="S45" s="2900"/>
      <c r="T45" s="2886"/>
      <c r="U45" s="2886"/>
      <c r="V45" s="2886"/>
    </row>
    <row r="46" spans="1:34" ht="13.5" thickBot="1">
      <c r="A46" s="2897" t="s">
        <v>2575</v>
      </c>
      <c r="B46" s="2898">
        <f t="shared" si="167"/>
        <v>276.29854502841971</v>
      </c>
      <c r="C46" s="2898">
        <f t="shared" si="167"/>
        <v>229.79023709833027</v>
      </c>
      <c r="D46" s="2898">
        <f t="shared" si="156"/>
        <v>229.79023709833027</v>
      </c>
      <c r="E46" s="2898">
        <f t="shared" si="168"/>
        <v>379.78759731655936</v>
      </c>
      <c r="F46" s="2898">
        <f t="shared" si="168"/>
        <v>211.32953905659235</v>
      </c>
      <c r="G46" s="3538">
        <v>2011</v>
      </c>
      <c r="H46" s="2899">
        <v>1</v>
      </c>
      <c r="I46" s="2899">
        <v>2.65</v>
      </c>
      <c r="J46" s="2899">
        <v>3.76</v>
      </c>
      <c r="K46" s="2899">
        <v>1.89</v>
      </c>
      <c r="L46" s="2905">
        <v>7.95</v>
      </c>
      <c r="N46" s="2902">
        <f t="shared" si="158"/>
        <v>2.6499999999999999E-2</v>
      </c>
      <c r="O46" s="2903">
        <f t="shared" si="158"/>
        <v>3.7599999999999995E-2</v>
      </c>
      <c r="P46" s="2903">
        <f t="shared" si="158"/>
        <v>1.89E-2</v>
      </c>
      <c r="Q46" s="2903">
        <f t="shared" si="158"/>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2576</v>
      </c>
      <c r="B47" s="2919">
        <v>269</v>
      </c>
      <c r="C47" s="2919">
        <v>221</v>
      </c>
      <c r="D47" s="2919">
        <f t="shared" si="156"/>
        <v>221</v>
      </c>
      <c r="E47" s="2919">
        <v>373</v>
      </c>
      <c r="F47" s="2920">
        <v>196</v>
      </c>
      <c r="G47" s="3537">
        <v>2010</v>
      </c>
      <c r="H47" s="2921">
        <v>4</v>
      </c>
      <c r="I47" s="2921">
        <v>5.72</v>
      </c>
      <c r="J47" s="2921">
        <v>6.57</v>
      </c>
      <c r="K47" s="2921">
        <v>5.72</v>
      </c>
      <c r="L47" s="2922">
        <v>2.72</v>
      </c>
      <c r="N47" s="2900">
        <f t="shared" si="158"/>
        <v>5.7200000000000001E-2</v>
      </c>
      <c r="O47" s="2886">
        <f t="shared" si="158"/>
        <v>6.5700000000000008E-2</v>
      </c>
      <c r="P47" s="2886">
        <f t="shared" si="158"/>
        <v>5.7200000000000001E-2</v>
      </c>
      <c r="Q47" s="2886">
        <f t="shared" si="158"/>
        <v>2.7200000000000002E-2</v>
      </c>
      <c r="R47" s="2901"/>
      <c r="S47" s="2910"/>
      <c r="T47" s="2911"/>
      <c r="U47" s="2911"/>
      <c r="V47" s="2911"/>
      <c r="X47" s="2911"/>
      <c r="Y47" s="2911"/>
      <c r="Z47" s="2911"/>
    </row>
    <row r="48" spans="1:34">
      <c r="A48" s="2897" t="s">
        <v>2577</v>
      </c>
      <c r="B48" s="2898">
        <f t="shared" ref="B48:C50" si="169">B47/(1+N47)</f>
        <v>254.44570563753314</v>
      </c>
      <c r="C48" s="2898">
        <f t="shared" si="169"/>
        <v>207.37543398705074</v>
      </c>
      <c r="D48" s="2898">
        <f t="shared" si="156"/>
        <v>207.37543398705074</v>
      </c>
      <c r="E48" s="2898">
        <f t="shared" ref="E48:F50" si="170">E47/(1+P47)</f>
        <v>352.81876655315932</v>
      </c>
      <c r="F48" s="2898">
        <f t="shared" si="170"/>
        <v>190.809968847352</v>
      </c>
      <c r="G48" s="3535">
        <v>2010</v>
      </c>
      <c r="H48" s="2924">
        <v>3</v>
      </c>
      <c r="I48" s="2924">
        <v>4.7300000000000004</v>
      </c>
      <c r="J48" s="2924">
        <v>3.9</v>
      </c>
      <c r="K48" s="2924">
        <v>5.03</v>
      </c>
      <c r="L48" s="2925">
        <v>4.21</v>
      </c>
      <c r="N48" s="2900">
        <f t="shared" si="158"/>
        <v>4.7300000000000002E-2</v>
      </c>
      <c r="O48" s="2886">
        <f t="shared" si="158"/>
        <v>3.9E-2</v>
      </c>
      <c r="P48" s="2886">
        <f t="shared" si="158"/>
        <v>5.0300000000000004E-2</v>
      </c>
      <c r="Q48" s="2886">
        <f t="shared" si="158"/>
        <v>4.2099999999999999E-2</v>
      </c>
      <c r="R48" s="2901"/>
      <c r="S48" s="2900"/>
      <c r="T48" s="2886"/>
      <c r="U48" s="2886"/>
      <c r="V48" s="2886"/>
    </row>
    <row r="49" spans="1:26">
      <c r="A49" s="2897" t="s">
        <v>2578</v>
      </c>
      <c r="B49" s="2898">
        <f t="shared" si="169"/>
        <v>242.95398227588385</v>
      </c>
      <c r="C49" s="2898">
        <f t="shared" si="169"/>
        <v>199.59137053614126</v>
      </c>
      <c r="D49" s="2898">
        <f t="shared" si="156"/>
        <v>199.59137053614126</v>
      </c>
      <c r="E49" s="2898">
        <f t="shared" si="170"/>
        <v>335.92189522342125</v>
      </c>
      <c r="F49" s="2898">
        <f t="shared" si="170"/>
        <v>183.10139991109489</v>
      </c>
      <c r="G49" s="3535">
        <v>2010</v>
      </c>
      <c r="H49" s="2912">
        <v>2</v>
      </c>
      <c r="I49" s="2912">
        <v>4.6900000000000004</v>
      </c>
      <c r="J49" s="2912">
        <v>3.55</v>
      </c>
      <c r="K49" s="2912">
        <v>5.07</v>
      </c>
      <c r="L49" s="2913">
        <v>4.2300000000000004</v>
      </c>
      <c r="N49" s="2900">
        <f t="shared" si="158"/>
        <v>4.6900000000000004E-2</v>
      </c>
      <c r="O49" s="2886">
        <f t="shared" si="158"/>
        <v>3.5499999999999997E-2</v>
      </c>
      <c r="P49" s="2886">
        <f t="shared" si="158"/>
        <v>5.0700000000000002E-2</v>
      </c>
      <c r="Q49" s="2886">
        <f t="shared" si="158"/>
        <v>4.2300000000000004E-2</v>
      </c>
      <c r="R49" s="2901"/>
      <c r="S49" s="2900"/>
      <c r="T49" s="2886"/>
      <c r="U49" s="2886"/>
      <c r="V49" s="2886"/>
    </row>
    <row r="50" spans="1:26" ht="13.5" thickBot="1">
      <c r="A50" s="2897" t="s">
        <v>2579</v>
      </c>
      <c r="B50" s="2898">
        <f t="shared" si="169"/>
        <v>232.06990378821649</v>
      </c>
      <c r="C50" s="2898">
        <f t="shared" si="169"/>
        <v>192.74878854286936</v>
      </c>
      <c r="D50" s="2898">
        <f t="shared" si="156"/>
        <v>192.74878854286936</v>
      </c>
      <c r="E50" s="2898">
        <f t="shared" si="170"/>
        <v>319.71247284992984</v>
      </c>
      <c r="F50" s="2898">
        <f t="shared" si="170"/>
        <v>175.67053622862409</v>
      </c>
      <c r="G50" s="3538">
        <v>2010</v>
      </c>
      <c r="H50" s="2899">
        <v>1</v>
      </c>
      <c r="I50" s="2899">
        <v>5.4</v>
      </c>
      <c r="J50" s="2899">
        <v>3.2</v>
      </c>
      <c r="K50" s="2899">
        <v>6.16</v>
      </c>
      <c r="L50" s="2905">
        <v>4.51</v>
      </c>
      <c r="N50" s="2900">
        <f t="shared" si="158"/>
        <v>5.4000000000000006E-2</v>
      </c>
      <c r="O50" s="2886">
        <f t="shared" si="158"/>
        <v>3.2000000000000001E-2</v>
      </c>
      <c r="P50" s="2886">
        <f t="shared" si="158"/>
        <v>6.1600000000000002E-2</v>
      </c>
      <c r="Q50" s="2886">
        <f t="shared" si="158"/>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2580</v>
      </c>
      <c r="B51" s="2919">
        <v>220</v>
      </c>
      <c r="C51" s="2919">
        <v>187</v>
      </c>
      <c r="D51" s="2919">
        <f t="shared" si="156"/>
        <v>187</v>
      </c>
      <c r="E51" s="2919">
        <v>301</v>
      </c>
      <c r="F51" s="2920">
        <v>168</v>
      </c>
      <c r="G51" s="3537">
        <v>2009</v>
      </c>
      <c r="H51" s="2921">
        <v>4</v>
      </c>
      <c r="I51" s="2921">
        <v>2.2999999999999998</v>
      </c>
      <c r="J51" s="2921">
        <v>1.04</v>
      </c>
      <c r="K51" s="2921">
        <v>2.84</v>
      </c>
      <c r="L51" s="2922">
        <v>0.67</v>
      </c>
      <c r="N51" s="2916">
        <f t="shared" si="158"/>
        <v>2.3E-2</v>
      </c>
      <c r="O51" s="2917">
        <f t="shared" si="158"/>
        <v>1.04E-2</v>
      </c>
      <c r="P51" s="2917">
        <f t="shared" si="158"/>
        <v>2.8399999999999998E-2</v>
      </c>
      <c r="Q51" s="2917">
        <f t="shared" si="158"/>
        <v>6.7000000000000002E-3</v>
      </c>
      <c r="R51" s="2901"/>
      <c r="S51" s="2910"/>
      <c r="T51" s="2911"/>
      <c r="U51" s="2911"/>
      <c r="V51" s="2911"/>
      <c r="X51" s="2911"/>
      <c r="Y51" s="2911"/>
      <c r="Z51" s="2911"/>
    </row>
    <row r="52" spans="1:26">
      <c r="A52" s="2897" t="s">
        <v>2581</v>
      </c>
      <c r="B52" s="2898">
        <f t="shared" ref="B52:C54" si="171">B51/(1+N51)</f>
        <v>215.05376344086022</v>
      </c>
      <c r="C52" s="2898">
        <f t="shared" si="171"/>
        <v>185.0752177355503</v>
      </c>
      <c r="D52" s="2898">
        <f t="shared" si="156"/>
        <v>185.0752177355503</v>
      </c>
      <c r="E52" s="2898">
        <f t="shared" ref="E52:F54" si="172">E51/(1+P51)</f>
        <v>292.68767016725008</v>
      </c>
      <c r="F52" s="2898">
        <f t="shared" si="172"/>
        <v>166.88189132810174</v>
      </c>
      <c r="G52" s="3535">
        <v>2009</v>
      </c>
      <c r="H52" s="2924">
        <v>3</v>
      </c>
      <c r="I52" s="2924">
        <v>2.1</v>
      </c>
      <c r="J52" s="2924">
        <v>1.86</v>
      </c>
      <c r="K52" s="2924">
        <v>2.29</v>
      </c>
      <c r="L52" s="2925">
        <v>0.85</v>
      </c>
      <c r="N52" s="2900">
        <f t="shared" si="158"/>
        <v>2.1000000000000001E-2</v>
      </c>
      <c r="O52" s="2918">
        <f t="shared" si="158"/>
        <v>1.8600000000000002E-2</v>
      </c>
      <c r="P52" s="2918">
        <f t="shared" si="158"/>
        <v>2.29E-2</v>
      </c>
      <c r="Q52" s="2918">
        <f t="shared" si="158"/>
        <v>8.5000000000000006E-3</v>
      </c>
      <c r="R52" s="2901"/>
      <c r="S52" s="2900"/>
      <c r="T52" s="2886"/>
      <c r="U52" s="2886"/>
      <c r="V52" s="2886"/>
    </row>
    <row r="53" spans="1:26">
      <c r="A53" s="2897" t="s">
        <v>2582</v>
      </c>
      <c r="B53" s="2898">
        <f t="shared" si="171"/>
        <v>210.630522469011</v>
      </c>
      <c r="C53" s="2898">
        <f t="shared" si="171"/>
        <v>181.69567812247232</v>
      </c>
      <c r="D53" s="2898">
        <f t="shared" si="156"/>
        <v>181.69567812247232</v>
      </c>
      <c r="E53" s="2898">
        <f t="shared" si="172"/>
        <v>286.13517466736738</v>
      </c>
      <c r="F53" s="2898">
        <f t="shared" si="172"/>
        <v>165.47535084591149</v>
      </c>
      <c r="G53" s="3535">
        <v>2009</v>
      </c>
      <c r="H53" s="2912">
        <v>2</v>
      </c>
      <c r="I53" s="2912">
        <v>0.86</v>
      </c>
      <c r="J53" s="2912">
        <v>-1.1299999999999999</v>
      </c>
      <c r="K53" s="2912">
        <v>1.79</v>
      </c>
      <c r="L53" s="2913">
        <v>-2.0699999999999998</v>
      </c>
      <c r="N53" s="2900">
        <f t="shared" si="158"/>
        <v>8.6E-3</v>
      </c>
      <c r="O53" s="2918">
        <f t="shared" si="158"/>
        <v>-1.1299999999999999E-2</v>
      </c>
      <c r="P53" s="2918">
        <f t="shared" si="158"/>
        <v>1.7899999999999999E-2</v>
      </c>
      <c r="Q53" s="2918">
        <f t="shared" si="158"/>
        <v>-2.07E-2</v>
      </c>
      <c r="R53" s="2901"/>
      <c r="S53" s="2900"/>
      <c r="T53" s="2886"/>
      <c r="U53" s="2886"/>
      <c r="V53" s="2886"/>
    </row>
    <row r="54" spans="1:26">
      <c r="A54" s="2897" t="s">
        <v>2583</v>
      </c>
      <c r="B54" s="2898">
        <f t="shared" si="171"/>
        <v>208.83454537875372</v>
      </c>
      <c r="C54" s="2898">
        <f t="shared" si="171"/>
        <v>183.77230517090351</v>
      </c>
      <c r="D54" s="2898">
        <f t="shared" si="156"/>
        <v>183.77230517090351</v>
      </c>
      <c r="E54" s="2898">
        <f t="shared" si="172"/>
        <v>281.10342338870947</v>
      </c>
      <c r="F54" s="2898">
        <f t="shared" si="172"/>
        <v>168.97309388942256</v>
      </c>
      <c r="G54" s="3538">
        <v>2009</v>
      </c>
      <c r="H54" s="2899">
        <v>1</v>
      </c>
      <c r="I54" s="2899">
        <v>-2.64</v>
      </c>
      <c r="J54" s="2899">
        <v>-2.5299999999999998</v>
      </c>
      <c r="K54" s="2899">
        <v>-3.02</v>
      </c>
      <c r="L54" s="2905">
        <v>1.52</v>
      </c>
      <c r="N54" s="2902">
        <f t="shared" si="158"/>
        <v>-2.64E-2</v>
      </c>
      <c r="O54" s="2903">
        <f t="shared" si="158"/>
        <v>-2.53E-2</v>
      </c>
      <c r="P54" s="2903">
        <f t="shared" si="158"/>
        <v>-3.0200000000000001E-2</v>
      </c>
      <c r="Q54" s="2903">
        <f t="shared" si="158"/>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2584</v>
      </c>
      <c r="B55" s="2947">
        <v>214</v>
      </c>
      <c r="C55" s="2947">
        <v>188</v>
      </c>
      <c r="D55" s="2947">
        <f t="shared" si="156"/>
        <v>188</v>
      </c>
      <c r="E55" s="2947">
        <v>289</v>
      </c>
      <c r="F55" s="2948">
        <v>166</v>
      </c>
      <c r="G55" s="3537">
        <v>2008</v>
      </c>
      <c r="H55" s="2921">
        <v>4</v>
      </c>
      <c r="I55" s="2921">
        <v>1.73</v>
      </c>
      <c r="J55" s="2921">
        <v>0.03</v>
      </c>
      <c r="K55" s="2921">
        <v>2.59</v>
      </c>
      <c r="L55" s="2922">
        <v>-1.66</v>
      </c>
      <c r="N55" s="2900">
        <f t="shared" si="158"/>
        <v>1.7299999999999999E-2</v>
      </c>
      <c r="O55" s="2886">
        <f t="shared" si="158"/>
        <v>2.9999999999999997E-4</v>
      </c>
      <c r="P55" s="2886">
        <f t="shared" si="158"/>
        <v>2.5899999999999999E-2</v>
      </c>
      <c r="Q55" s="2886">
        <f t="shared" si="158"/>
        <v>-1.66E-2</v>
      </c>
      <c r="R55" s="2901"/>
      <c r="S55" s="2910"/>
      <c r="T55" s="2911"/>
      <c r="U55" s="2911"/>
      <c r="V55" s="2911"/>
      <c r="X55" s="2911"/>
      <c r="Y55" s="2911"/>
      <c r="Z55" s="2911"/>
    </row>
    <row r="56" spans="1:26">
      <c r="A56" s="2897" t="s">
        <v>2585</v>
      </c>
      <c r="B56" s="2898">
        <f t="shared" ref="B56:C58" si="173">B55/(1+N55)</f>
        <v>210.36075887152265</v>
      </c>
      <c r="C56" s="2898">
        <f t="shared" si="173"/>
        <v>187.94361691492554</v>
      </c>
      <c r="D56" s="2898">
        <f t="shared" si="156"/>
        <v>187.94361691492554</v>
      </c>
      <c r="E56" s="2898">
        <f t="shared" ref="E56:F58" si="174">E55/(1+P55)</f>
        <v>281.70386977288234</v>
      </c>
      <c r="F56" s="2898">
        <f t="shared" si="174"/>
        <v>168.80211511083994</v>
      </c>
      <c r="G56" s="3535">
        <v>2008</v>
      </c>
      <c r="H56" s="2924">
        <v>3</v>
      </c>
      <c r="I56" s="2924">
        <v>1.96</v>
      </c>
      <c r="J56" s="2924">
        <v>2.36</v>
      </c>
      <c r="K56" s="2924">
        <v>1.82</v>
      </c>
      <c r="L56" s="2925">
        <v>2.2200000000000002</v>
      </c>
      <c r="N56" s="2900">
        <f t="shared" si="158"/>
        <v>1.9599999999999999E-2</v>
      </c>
      <c r="O56" s="2886">
        <f t="shared" si="158"/>
        <v>2.3599999999999999E-2</v>
      </c>
      <c r="P56" s="2886">
        <f t="shared" si="158"/>
        <v>1.8200000000000001E-2</v>
      </c>
      <c r="Q56" s="2886">
        <f t="shared" si="158"/>
        <v>2.2200000000000001E-2</v>
      </c>
      <c r="R56" s="2901"/>
      <c r="S56" s="2900"/>
      <c r="T56" s="2886"/>
      <c r="U56" s="2886"/>
      <c r="V56" s="2886"/>
    </row>
    <row r="57" spans="1:26">
      <c r="A57" s="2897" t="s">
        <v>2586</v>
      </c>
      <c r="B57" s="2898">
        <f t="shared" si="173"/>
        <v>206.31694671589116</v>
      </c>
      <c r="C57" s="2898">
        <f t="shared" si="173"/>
        <v>183.61041121036101</v>
      </c>
      <c r="D57" s="2898">
        <f t="shared" si="156"/>
        <v>183.61041121036101</v>
      </c>
      <c r="E57" s="2898">
        <f t="shared" si="174"/>
        <v>276.66850301795557</v>
      </c>
      <c r="F57" s="2898">
        <f t="shared" si="174"/>
        <v>165.1360938278614</v>
      </c>
      <c r="G57" s="3535">
        <v>2008</v>
      </c>
      <c r="H57" s="2912">
        <v>2</v>
      </c>
      <c r="I57" s="2912">
        <v>4.93</v>
      </c>
      <c r="J57" s="2912">
        <v>7.38</v>
      </c>
      <c r="K57" s="2912">
        <v>3.98</v>
      </c>
      <c r="L57" s="2913">
        <v>6.86</v>
      </c>
      <c r="N57" s="2900">
        <f t="shared" si="158"/>
        <v>4.9299999999999997E-2</v>
      </c>
      <c r="O57" s="2886">
        <f t="shared" si="158"/>
        <v>7.3800000000000004E-2</v>
      </c>
      <c r="P57" s="2886">
        <f t="shared" si="158"/>
        <v>3.9800000000000002E-2</v>
      </c>
      <c r="Q57" s="2886">
        <f t="shared" si="158"/>
        <v>6.8600000000000008E-2</v>
      </c>
      <c r="R57" s="2901"/>
      <c r="S57" s="2900"/>
      <c r="T57" s="2886"/>
      <c r="U57" s="2886"/>
      <c r="V57" s="2886"/>
    </row>
    <row r="58" spans="1:26" s="2953" customFormat="1" ht="13.5" thickBot="1">
      <c r="A58" s="2897" t="s">
        <v>2587</v>
      </c>
      <c r="B58" s="2950">
        <f t="shared" si="173"/>
        <v>196.62341248059772</v>
      </c>
      <c r="C58" s="2950">
        <f t="shared" si="173"/>
        <v>170.99125648199012</v>
      </c>
      <c r="D58" s="2950">
        <f t="shared" si="156"/>
        <v>170.99125648199012</v>
      </c>
      <c r="E58" s="2950">
        <f t="shared" si="174"/>
        <v>266.07857570490052</v>
      </c>
      <c r="F58" s="2950">
        <f t="shared" si="174"/>
        <v>154.53499328828505</v>
      </c>
      <c r="G58" s="3538">
        <v>2008</v>
      </c>
      <c r="H58" s="2951">
        <v>1</v>
      </c>
      <c r="I58" s="2951">
        <v>4.1399999999999997</v>
      </c>
      <c r="J58" s="2951">
        <v>3.45</v>
      </c>
      <c r="K58" s="2951">
        <v>4.95</v>
      </c>
      <c r="L58" s="2952">
        <v>4.82</v>
      </c>
      <c r="N58" s="2954">
        <f t="shared" si="158"/>
        <v>4.1399999999999999E-2</v>
      </c>
      <c r="O58" s="2955">
        <f t="shared" si="158"/>
        <v>3.4500000000000003E-2</v>
      </c>
      <c r="P58" s="2955">
        <f t="shared" si="158"/>
        <v>4.9500000000000002E-2</v>
      </c>
      <c r="Q58" s="2955">
        <f t="shared" si="158"/>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2588</v>
      </c>
      <c r="B59" s="2919">
        <v>188</v>
      </c>
      <c r="C59" s="2919">
        <v>165</v>
      </c>
      <c r="D59" s="2919">
        <f t="shared" si="156"/>
        <v>165</v>
      </c>
      <c r="E59" s="2919">
        <v>254</v>
      </c>
      <c r="F59" s="2920">
        <v>148</v>
      </c>
      <c r="G59" s="3537">
        <v>2007</v>
      </c>
      <c r="H59" s="2957">
        <v>4</v>
      </c>
      <c r="I59" s="2957">
        <v>5.51</v>
      </c>
      <c r="J59" s="2957">
        <v>4.8899999999999997</v>
      </c>
      <c r="K59" s="2957">
        <v>6.43</v>
      </c>
      <c r="L59" s="2958">
        <v>5.36</v>
      </c>
      <c r="N59" s="2959">
        <f t="shared" ref="N59:O62" si="175">B59/B60-1</f>
        <v>4.1339718365245526E-2</v>
      </c>
      <c r="O59" s="2960">
        <f t="shared" si="175"/>
        <v>4.0324492593776018E-2</v>
      </c>
      <c r="P59" s="2960">
        <f t="shared" ref="P59:Q62" si="176">E59/E60-1</f>
        <v>6.1625555347990968E-2</v>
      </c>
      <c r="Q59" s="2960">
        <f t="shared" si="176"/>
        <v>4.6757569250590603E-2</v>
      </c>
      <c r="R59" s="2901"/>
      <c r="S59" s="2910"/>
      <c r="T59" s="2911"/>
      <c r="U59" s="2911"/>
      <c r="V59" s="2911"/>
      <c r="X59" s="2911"/>
      <c r="Y59" s="2911"/>
      <c r="Z59" s="2911"/>
    </row>
    <row r="60" spans="1:26">
      <c r="A60" s="2897" t="s">
        <v>2589</v>
      </c>
      <c r="B60" s="2898">
        <f t="shared" ref="B60:C62" si="177">B61+(B$59-B$63)*I60/SUM(I$59:I$62)</f>
        <v>180.5366651097618</v>
      </c>
      <c r="C60" s="2898">
        <f t="shared" si="177"/>
        <v>158.60435967302453</v>
      </c>
      <c r="D60" s="2898">
        <f t="shared" si="156"/>
        <v>158.60435967302453</v>
      </c>
      <c r="E60" s="2898">
        <f t="shared" ref="E60:F62" si="178">E61+(E$59-E$63)*K60/SUM(K$59:K$62)</f>
        <v>239.25573260785075</v>
      </c>
      <c r="F60" s="2898">
        <f t="shared" si="178"/>
        <v>141.38899430740037</v>
      </c>
      <c r="G60" s="3535">
        <v>2007</v>
      </c>
      <c r="H60" s="2924">
        <v>3</v>
      </c>
      <c r="I60" s="2924">
        <v>8.65</v>
      </c>
      <c r="J60" s="2924">
        <v>8.06</v>
      </c>
      <c r="K60" s="2924">
        <v>9.94</v>
      </c>
      <c r="L60" s="2925">
        <v>5.8</v>
      </c>
      <c r="N60" s="2959">
        <f t="shared" si="175"/>
        <v>6.940217571740015E-2</v>
      </c>
      <c r="O60" s="2960">
        <f t="shared" si="175"/>
        <v>7.1197482471153428E-2</v>
      </c>
      <c r="P60" s="2960">
        <f t="shared" si="176"/>
        <v>0.10529679922579582</v>
      </c>
      <c r="Q60" s="2960">
        <f t="shared" si="176"/>
        <v>5.3292245059512133E-2</v>
      </c>
      <c r="R60" s="2901"/>
      <c r="S60" s="2900"/>
      <c r="T60" s="2886"/>
      <c r="U60" s="2886"/>
      <c r="V60" s="2886"/>
      <c r="X60" s="2961"/>
      <c r="Y60" s="2961"/>
      <c r="Z60" s="2961"/>
    </row>
    <row r="61" spans="1:26">
      <c r="A61" s="2897" t="s">
        <v>2590</v>
      </c>
      <c r="B61" s="2898">
        <f t="shared" si="177"/>
        <v>168.82017748715555</v>
      </c>
      <c r="C61" s="2898">
        <f t="shared" si="177"/>
        <v>148.06267029972753</v>
      </c>
      <c r="D61" s="2898">
        <f t="shared" si="156"/>
        <v>148.06267029972753</v>
      </c>
      <c r="E61" s="2898">
        <f t="shared" si="178"/>
        <v>216.46288379323747</v>
      </c>
      <c r="F61" s="2898">
        <f t="shared" si="178"/>
        <v>134.23529411764704</v>
      </c>
      <c r="G61" s="3535">
        <v>2007</v>
      </c>
      <c r="H61" s="2912">
        <v>2</v>
      </c>
      <c r="I61" s="2912">
        <v>3.67</v>
      </c>
      <c r="J61" s="2912">
        <v>2.3199999999999998</v>
      </c>
      <c r="K61" s="2912">
        <v>5.0199999999999996</v>
      </c>
      <c r="L61" s="2913">
        <v>6.71</v>
      </c>
      <c r="N61" s="2959">
        <f t="shared" si="175"/>
        <v>3.0339138143848032E-2</v>
      </c>
      <c r="O61" s="2960">
        <f t="shared" si="175"/>
        <v>2.0922341588790472E-2</v>
      </c>
      <c r="P61" s="2960">
        <f t="shared" si="176"/>
        <v>5.6164796592717003E-2</v>
      </c>
      <c r="Q61" s="2960">
        <f t="shared" si="176"/>
        <v>6.5704536723887319E-2</v>
      </c>
      <c r="R61" s="2901"/>
      <c r="S61" s="2900"/>
      <c r="T61" s="2886"/>
      <c r="U61" s="2886"/>
      <c r="V61" s="2886"/>
      <c r="X61" s="2961"/>
      <c r="Y61" s="2961"/>
      <c r="Z61" s="2961"/>
    </row>
    <row r="62" spans="1:26">
      <c r="A62" s="2897" t="s">
        <v>2591</v>
      </c>
      <c r="B62" s="2898">
        <f t="shared" si="177"/>
        <v>163.84913591779542</v>
      </c>
      <c r="C62" s="2898">
        <f t="shared" si="177"/>
        <v>145.0283378746594</v>
      </c>
      <c r="D62" s="2898">
        <f t="shared" si="156"/>
        <v>145.0283378746594</v>
      </c>
      <c r="E62" s="2898">
        <f t="shared" si="178"/>
        <v>204.95180722891567</v>
      </c>
      <c r="F62" s="2898">
        <f t="shared" si="178"/>
        <v>125.95920303605313</v>
      </c>
      <c r="G62" s="3538">
        <v>2007</v>
      </c>
      <c r="H62" s="2899">
        <v>1</v>
      </c>
      <c r="I62" s="2899">
        <v>3.58</v>
      </c>
      <c r="J62" s="2899">
        <v>3.08</v>
      </c>
      <c r="K62" s="2899">
        <v>4.34</v>
      </c>
      <c r="L62" s="2905">
        <v>3.21</v>
      </c>
      <c r="N62" s="2962">
        <f t="shared" si="175"/>
        <v>3.0497710174814063E-2</v>
      </c>
      <c r="O62" s="2963">
        <f t="shared" si="175"/>
        <v>2.8569772160704998E-2</v>
      </c>
      <c r="P62" s="2963">
        <f t="shared" si="176"/>
        <v>5.1034908866234296E-2</v>
      </c>
      <c r="Q62" s="2963">
        <f t="shared" si="176"/>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2592</v>
      </c>
      <c r="B63" s="2926">
        <v>159</v>
      </c>
      <c r="C63" s="2926">
        <v>141</v>
      </c>
      <c r="D63" s="2926">
        <f t="shared" si="156"/>
        <v>141</v>
      </c>
      <c r="E63" s="2926">
        <v>195</v>
      </c>
      <c r="F63" s="2927">
        <v>122</v>
      </c>
      <c r="G63" s="3537">
        <v>2006</v>
      </c>
      <c r="H63" s="2921">
        <v>4</v>
      </c>
      <c r="I63" s="2921">
        <v>3.79</v>
      </c>
      <c r="J63" s="2921">
        <v>2.21</v>
      </c>
      <c r="K63" s="2921">
        <v>5.65</v>
      </c>
      <c r="L63" s="2922">
        <v>5.41</v>
      </c>
      <c r="N63" s="2959">
        <f t="shared" ref="N63:O66" si="179">I63/SUM(I$63:I$66)*(B$63/B$67-1)</f>
        <v>7.245466462748526E-2</v>
      </c>
      <c r="O63" s="2960">
        <f t="shared" si="179"/>
        <v>2.3237230038062766E-2</v>
      </c>
      <c r="P63" s="2960">
        <f t="shared" ref="P63:Q66" si="180">K63/SUM(K$63:K$66)*(E$63/E$67-1)</f>
        <v>0.16146893866323722</v>
      </c>
      <c r="Q63" s="2960">
        <f t="shared" si="180"/>
        <v>5.0755230321793784E-2</v>
      </c>
      <c r="R63" s="2901"/>
      <c r="S63" s="2910"/>
      <c r="T63" s="2911"/>
      <c r="U63" s="2911"/>
      <c r="V63" s="2911"/>
      <c r="X63" s="2961"/>
      <c r="Y63" s="2961"/>
      <c r="Z63" s="2961"/>
    </row>
    <row r="64" spans="1:26">
      <c r="A64" s="2897" t="s">
        <v>2593</v>
      </c>
      <c r="B64" s="2898">
        <f t="shared" ref="B64:C66" si="181">B65+(B$63-B$67)*I64/SUM(I$63:I$66)</f>
        <v>149.00125628140702</v>
      </c>
      <c r="C64" s="2898">
        <f t="shared" si="181"/>
        <v>137.95592286501378</v>
      </c>
      <c r="D64" s="2898">
        <f t="shared" si="156"/>
        <v>137.95592286501378</v>
      </c>
      <c r="E64" s="2898">
        <f t="shared" ref="E64:F66" si="182">E65+(E$63-E$67)*K64/SUM(K$63:K$66)</f>
        <v>169.97231450719823</v>
      </c>
      <c r="F64" s="2898">
        <f t="shared" si="182"/>
        <v>116.21390374331551</v>
      </c>
      <c r="G64" s="3535">
        <v>2006</v>
      </c>
      <c r="H64" s="2924">
        <v>3</v>
      </c>
      <c r="I64" s="2924">
        <v>0.92</v>
      </c>
      <c r="J64" s="2924">
        <v>1.08</v>
      </c>
      <c r="K64" s="2924">
        <v>0.73</v>
      </c>
      <c r="L64" s="2925">
        <v>1.08</v>
      </c>
      <c r="N64" s="2959">
        <f t="shared" si="179"/>
        <v>1.7587939698492462E-2</v>
      </c>
      <c r="O64" s="2960">
        <f t="shared" si="179"/>
        <v>1.1355750425840628E-2</v>
      </c>
      <c r="P64" s="2960">
        <f t="shared" si="180"/>
        <v>2.0862358446754544E-2</v>
      </c>
      <c r="Q64" s="2960">
        <f t="shared" si="180"/>
        <v>1.0132282578103011E-2</v>
      </c>
      <c r="R64" s="2901"/>
      <c r="S64" s="2900"/>
      <c r="T64" s="2886"/>
      <c r="U64" s="2886"/>
      <c r="V64" s="2886"/>
      <c r="X64" s="2961"/>
      <c r="Y64" s="2961"/>
      <c r="Z64" s="2961"/>
    </row>
    <row r="65" spans="1:26">
      <c r="A65" s="2897" t="s">
        <v>2594</v>
      </c>
      <c r="B65" s="2898">
        <f t="shared" si="181"/>
        <v>146.57412060301507</v>
      </c>
      <c r="C65" s="2898">
        <f t="shared" si="181"/>
        <v>136.46831955922866</v>
      </c>
      <c r="D65" s="2898">
        <f t="shared" si="156"/>
        <v>136.46831955922866</v>
      </c>
      <c r="E65" s="2898">
        <f t="shared" si="182"/>
        <v>166.73864894795128</v>
      </c>
      <c r="F65" s="2898">
        <f t="shared" si="182"/>
        <v>115.05882352941177</v>
      </c>
      <c r="G65" s="3535">
        <v>2006</v>
      </c>
      <c r="H65" s="2912">
        <v>2</v>
      </c>
      <c r="I65" s="2912">
        <v>0.96</v>
      </c>
      <c r="J65" s="2912">
        <v>0.25</v>
      </c>
      <c r="K65" s="2912">
        <v>1.9</v>
      </c>
      <c r="L65" s="2913">
        <v>0.95</v>
      </c>
      <c r="N65" s="2959">
        <f t="shared" si="179"/>
        <v>1.8352632728861701E-2</v>
      </c>
      <c r="O65" s="2960">
        <f t="shared" si="179"/>
        <v>2.6286459319075526E-3</v>
      </c>
      <c r="P65" s="2960">
        <f t="shared" si="180"/>
        <v>5.4299289107991269E-2</v>
      </c>
      <c r="Q65" s="2960">
        <f t="shared" si="180"/>
        <v>8.9126559714794995E-3</v>
      </c>
      <c r="R65" s="2901"/>
      <c r="S65" s="2900"/>
      <c r="T65" s="2886"/>
      <c r="U65" s="2886"/>
      <c r="V65" s="2886"/>
      <c r="X65" s="2961"/>
      <c r="Y65" s="2961"/>
      <c r="Z65" s="2961"/>
    </row>
    <row r="66" spans="1:26">
      <c r="A66" s="2897" t="s">
        <v>2595</v>
      </c>
      <c r="B66" s="2898">
        <f t="shared" si="181"/>
        <v>144.04145728643215</v>
      </c>
      <c r="C66" s="2898">
        <f t="shared" si="181"/>
        <v>136.12396694214877</v>
      </c>
      <c r="D66" s="2898">
        <f t="shared" si="156"/>
        <v>136.12396694214877</v>
      </c>
      <c r="E66" s="2898">
        <f t="shared" si="182"/>
        <v>158.32225913621264</v>
      </c>
      <c r="F66" s="2898">
        <f t="shared" si="182"/>
        <v>114.04278074866311</v>
      </c>
      <c r="G66" s="3538">
        <v>2006</v>
      </c>
      <c r="H66" s="2899">
        <v>1</v>
      </c>
      <c r="I66" s="2899">
        <v>2.29</v>
      </c>
      <c r="J66" s="2899">
        <v>3.72</v>
      </c>
      <c r="K66" s="2899">
        <v>0.75</v>
      </c>
      <c r="L66" s="2905">
        <v>0.04</v>
      </c>
      <c r="N66" s="2962">
        <f t="shared" si="179"/>
        <v>4.3778675988638847E-2</v>
      </c>
      <c r="O66" s="2963">
        <f t="shared" si="179"/>
        <v>3.9114251466784385E-2</v>
      </c>
      <c r="P66" s="2963">
        <f t="shared" si="180"/>
        <v>2.1433929911049188E-2</v>
      </c>
      <c r="Q66" s="2963">
        <f t="shared" si="180"/>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2596</v>
      </c>
      <c r="B67" s="2926">
        <v>138</v>
      </c>
      <c r="C67" s="2926">
        <v>131</v>
      </c>
      <c r="D67" s="2926">
        <f t="shared" si="156"/>
        <v>131</v>
      </c>
      <c r="E67" s="2926">
        <v>155</v>
      </c>
      <c r="F67" s="2927">
        <v>114</v>
      </c>
      <c r="G67" s="3537">
        <v>2005</v>
      </c>
      <c r="H67" s="2921">
        <v>4</v>
      </c>
      <c r="I67" s="2921">
        <v>3.29</v>
      </c>
      <c r="J67" s="2921">
        <v>1.44</v>
      </c>
      <c r="K67" s="2921">
        <v>0.66</v>
      </c>
      <c r="L67" s="2922">
        <v>7.78</v>
      </c>
      <c r="N67" s="2959">
        <f t="shared" ref="N67:O70" si="183">I67/SUM(I$67:I$70)*(B$67/B$71-1)</f>
        <v>9.9404603216919935E-2</v>
      </c>
      <c r="O67" s="2960">
        <f t="shared" si="183"/>
        <v>4.7636550760861554E-2</v>
      </c>
      <c r="P67" s="2960">
        <f t="shared" ref="P67:Q70" si="184">K67/SUM(K$67:K$70)*(E$67/E$71-1)</f>
        <v>8.3756345177664976E-2</v>
      </c>
      <c r="Q67" s="2960">
        <f t="shared" si="184"/>
        <v>5.2148766661559584E-2</v>
      </c>
      <c r="R67" s="2901"/>
      <c r="S67" s="2910"/>
      <c r="T67" s="2911"/>
      <c r="U67" s="2911"/>
      <c r="V67" s="2911"/>
      <c r="X67" s="2961"/>
      <c r="Y67" s="2961"/>
      <c r="Z67" s="2961"/>
    </row>
    <row r="68" spans="1:26">
      <c r="A68" s="2897" t="s">
        <v>2597</v>
      </c>
      <c r="B68" s="2898">
        <f t="shared" ref="B68:C70" si="185">B69+(B$67-B$71)*I68/SUM(I$67:I$70)</f>
        <v>125.9720430107527</v>
      </c>
      <c r="C68" s="2898">
        <f t="shared" si="185"/>
        <v>125.1883408071749</v>
      </c>
      <c r="D68" s="2898">
        <f t="shared" si="156"/>
        <v>125.1883408071749</v>
      </c>
      <c r="E68" s="2898">
        <f t="shared" ref="E68:F70" si="186">E69+(E$67-E$71)*K68/SUM(K$67:K$70)</f>
        <v>144.61421319796952</v>
      </c>
      <c r="F68" s="2898">
        <f t="shared" si="186"/>
        <v>108.42008196721311</v>
      </c>
      <c r="G68" s="3535">
        <v>2005</v>
      </c>
      <c r="H68" s="2924">
        <v>3</v>
      </c>
      <c r="I68" s="2924">
        <v>0.46</v>
      </c>
      <c r="J68" s="2924">
        <v>0.32</v>
      </c>
      <c r="K68" s="2924">
        <v>0.42</v>
      </c>
      <c r="L68" s="2925">
        <v>0.64</v>
      </c>
      <c r="N68" s="2959">
        <f t="shared" si="183"/>
        <v>1.3898515951301874E-2</v>
      </c>
      <c r="O68" s="2960">
        <f t="shared" si="183"/>
        <v>1.0585900169080346E-2</v>
      </c>
      <c r="P68" s="2960">
        <f t="shared" si="184"/>
        <v>5.3299492385786795E-2</v>
      </c>
      <c r="Q68" s="2960">
        <f t="shared" si="184"/>
        <v>4.2898728359123568E-3</v>
      </c>
      <c r="R68" s="2901"/>
      <c r="S68" s="2900"/>
      <c r="T68" s="2886"/>
      <c r="U68" s="2886"/>
      <c r="V68" s="2886"/>
      <c r="X68" s="2961"/>
      <c r="Y68" s="2961"/>
      <c r="Z68" s="2961"/>
    </row>
    <row r="69" spans="1:26">
      <c r="A69" s="2897" t="s">
        <v>2598</v>
      </c>
      <c r="B69" s="2898">
        <f t="shared" si="185"/>
        <v>124.29032258064517</v>
      </c>
      <c r="C69" s="2898">
        <f t="shared" si="185"/>
        <v>123.8968609865471</v>
      </c>
      <c r="D69" s="2898">
        <f t="shared" si="156"/>
        <v>123.8968609865471</v>
      </c>
      <c r="E69" s="2898">
        <f t="shared" si="186"/>
        <v>138.00507614213197</v>
      </c>
      <c r="F69" s="2898">
        <f t="shared" si="186"/>
        <v>107.96106557377048</v>
      </c>
      <c r="G69" s="3535">
        <v>2005</v>
      </c>
      <c r="H69" s="2912">
        <v>2</v>
      </c>
      <c r="I69" s="2912">
        <v>0.47</v>
      </c>
      <c r="J69" s="2912">
        <v>0.1</v>
      </c>
      <c r="K69" s="2912">
        <v>0.52</v>
      </c>
      <c r="L69" s="2913">
        <v>0.79</v>
      </c>
      <c r="N69" s="2959">
        <f t="shared" si="183"/>
        <v>1.420065760241713E-2</v>
      </c>
      <c r="O69" s="2960">
        <f t="shared" si="183"/>
        <v>3.3080938028376083E-3</v>
      </c>
      <c r="P69" s="2960">
        <f t="shared" si="184"/>
        <v>6.598984771573603E-2</v>
      </c>
      <c r="Q69" s="2960">
        <f t="shared" si="184"/>
        <v>5.2953117818293153E-3</v>
      </c>
      <c r="R69" s="2901"/>
      <c r="S69" s="2900"/>
      <c r="T69" s="2886"/>
      <c r="U69" s="2886"/>
      <c r="V69" s="2886"/>
      <c r="X69" s="2961"/>
      <c r="Y69" s="2961"/>
      <c r="Z69" s="2961"/>
    </row>
    <row r="70" spans="1:26">
      <c r="A70" s="2897" t="s">
        <v>2599</v>
      </c>
      <c r="B70" s="2898">
        <f t="shared" si="185"/>
        <v>122.57204301075269</v>
      </c>
      <c r="C70" s="2898">
        <f t="shared" si="185"/>
        <v>123.4932735426009</v>
      </c>
      <c r="D70" s="2898">
        <f t="shared" si="156"/>
        <v>123.4932735426009</v>
      </c>
      <c r="E70" s="2898">
        <f t="shared" si="186"/>
        <v>129.82233502538071</v>
      </c>
      <c r="F70" s="2898">
        <f t="shared" si="186"/>
        <v>107.39446721311475</v>
      </c>
      <c r="G70" s="3538">
        <v>2005</v>
      </c>
      <c r="H70" s="2899">
        <v>1</v>
      </c>
      <c r="I70" s="2899">
        <v>0.43</v>
      </c>
      <c r="J70" s="2899">
        <v>0.37</v>
      </c>
      <c r="K70" s="2899">
        <v>0.37</v>
      </c>
      <c r="L70" s="2905">
        <v>0.55000000000000004</v>
      </c>
      <c r="N70" s="2962">
        <f t="shared" si="183"/>
        <v>1.2992090997956099E-2</v>
      </c>
      <c r="O70" s="2963">
        <f t="shared" si="183"/>
        <v>1.2239947070499151E-2</v>
      </c>
      <c r="P70" s="2963">
        <f t="shared" si="184"/>
        <v>4.6954314720812178E-2</v>
      </c>
      <c r="Q70" s="2963">
        <f t="shared" si="184"/>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2600</v>
      </c>
      <c r="B71" s="2947">
        <v>121</v>
      </c>
      <c r="C71" s="2947">
        <v>122</v>
      </c>
      <c r="D71" s="2947">
        <f t="shared" si="156"/>
        <v>122</v>
      </c>
      <c r="E71" s="2947">
        <v>124</v>
      </c>
      <c r="F71" s="2948">
        <v>107</v>
      </c>
      <c r="G71" s="3537">
        <v>2004</v>
      </c>
      <c r="H71" s="2921">
        <v>4</v>
      </c>
      <c r="I71" s="2921">
        <v>0.33</v>
      </c>
      <c r="J71" s="2921">
        <v>0.5</v>
      </c>
      <c r="K71" s="2921">
        <v>0.5</v>
      </c>
      <c r="L71" s="2922">
        <v>0</v>
      </c>
      <c r="N71" s="2959">
        <f t="shared" ref="N71:O74" si="187">I71/SUM(I$71:I$74)*(B$71/B$75-1)</f>
        <v>1.3391770148526898E-2</v>
      </c>
      <c r="O71" s="2960">
        <f t="shared" si="187"/>
        <v>1.063264221158958E-2</v>
      </c>
      <c r="P71" s="2960">
        <f t="shared" ref="P71:Q74" si="188">K71/SUM(K$71:K$74)*(E$71/E$75-1)</f>
        <v>2.2244466688911134E-2</v>
      </c>
      <c r="Q71" s="2960">
        <f t="shared" si="188"/>
        <v>0</v>
      </c>
      <c r="R71" s="2901"/>
      <c r="S71" s="2910"/>
      <c r="T71" s="2911"/>
      <c r="U71" s="2911"/>
      <c r="V71" s="2911"/>
      <c r="X71" s="2961"/>
      <c r="Y71" s="2961"/>
      <c r="Z71" s="2961"/>
    </row>
    <row r="72" spans="1:26">
      <c r="A72" s="2897" t="s">
        <v>2601</v>
      </c>
      <c r="B72" s="2898">
        <f t="shared" ref="B72:C74" si="189">B73+(B$71-B$75)*I72/SUM(I$71:I$74)</f>
        <v>119.51351351351352</v>
      </c>
      <c r="C72" s="2898">
        <f t="shared" si="189"/>
        <v>120.7878787878788</v>
      </c>
      <c r="D72" s="2898">
        <f t="shared" si="156"/>
        <v>120.7878787878788</v>
      </c>
      <c r="E72" s="2898">
        <f t="shared" ref="E72:F74" si="190">E73+(E$71-E$75)*K72/SUM(K$71:K$74)</f>
        <v>121.5975975975976</v>
      </c>
      <c r="F72" s="2898">
        <f t="shared" si="190"/>
        <v>107</v>
      </c>
      <c r="G72" s="3535">
        <v>2004</v>
      </c>
      <c r="H72" s="2924">
        <v>3</v>
      </c>
      <c r="I72" s="2924">
        <v>0.56000000000000005</v>
      </c>
      <c r="J72" s="2924">
        <v>0.8</v>
      </c>
      <c r="K72" s="2924">
        <v>0.83</v>
      </c>
      <c r="L72" s="2925">
        <v>0.06</v>
      </c>
      <c r="N72" s="2959">
        <f t="shared" si="187"/>
        <v>2.2725428130833527E-2</v>
      </c>
      <c r="O72" s="2960">
        <f t="shared" si="187"/>
        <v>1.7012227538543329E-2</v>
      </c>
      <c r="P72" s="2960">
        <f t="shared" si="188"/>
        <v>3.6925814703592477E-2</v>
      </c>
      <c r="Q72" s="2960">
        <f t="shared" si="188"/>
        <v>2.8846153846153744E-2</v>
      </c>
      <c r="R72" s="2901"/>
      <c r="S72" s="2900"/>
      <c r="T72" s="2886"/>
      <c r="U72" s="2886"/>
      <c r="V72" s="2886"/>
      <c r="X72" s="2961"/>
      <c r="Y72" s="2961"/>
      <c r="Z72" s="2961"/>
    </row>
    <row r="73" spans="1:26">
      <c r="A73" s="2897" t="s">
        <v>2602</v>
      </c>
      <c r="B73" s="2898">
        <f t="shared" si="189"/>
        <v>116.99099099099099</v>
      </c>
      <c r="C73" s="2898">
        <f t="shared" si="189"/>
        <v>118.84848484848486</v>
      </c>
      <c r="D73" s="2898">
        <f t="shared" si="156"/>
        <v>118.84848484848486</v>
      </c>
      <c r="E73" s="2898">
        <f t="shared" si="190"/>
        <v>117.60960960960961</v>
      </c>
      <c r="F73" s="2898">
        <f t="shared" si="190"/>
        <v>104</v>
      </c>
      <c r="G73" s="3535">
        <v>2004</v>
      </c>
      <c r="H73" s="2912">
        <v>2</v>
      </c>
      <c r="I73" s="2912">
        <v>1</v>
      </c>
      <c r="J73" s="2912">
        <v>1.5</v>
      </c>
      <c r="K73" s="2912">
        <v>1.5</v>
      </c>
      <c r="L73" s="2913">
        <v>0</v>
      </c>
      <c r="N73" s="2959">
        <f t="shared" si="187"/>
        <v>4.0581121662202721E-2</v>
      </c>
      <c r="O73" s="2960">
        <f t="shared" si="187"/>
        <v>3.1897926634768738E-2</v>
      </c>
      <c r="P73" s="2960">
        <f t="shared" si="188"/>
        <v>6.6733400066733395E-2</v>
      </c>
      <c r="Q73" s="2960">
        <f t="shared" si="188"/>
        <v>0</v>
      </c>
      <c r="R73" s="2901"/>
      <c r="S73" s="2900"/>
      <c r="T73" s="2886"/>
      <c r="U73" s="2886"/>
      <c r="V73" s="2886"/>
      <c r="X73" s="2961"/>
      <c r="Y73" s="2961"/>
      <c r="Z73" s="2961"/>
    </row>
    <row r="74" spans="1:26" s="2953" customFormat="1" ht="13.5" thickBot="1">
      <c r="A74" s="2897" t="s">
        <v>2603</v>
      </c>
      <c r="B74" s="2950">
        <f t="shared" si="189"/>
        <v>112.48648648648648</v>
      </c>
      <c r="C74" s="2950">
        <f t="shared" si="189"/>
        <v>115.21212121212122</v>
      </c>
      <c r="D74" s="2950">
        <f t="shared" si="156"/>
        <v>115.21212121212122</v>
      </c>
      <c r="E74" s="2950">
        <f t="shared" si="190"/>
        <v>110.4024024024024</v>
      </c>
      <c r="F74" s="2950">
        <f t="shared" si="190"/>
        <v>104</v>
      </c>
      <c r="G74" s="3538">
        <v>2004</v>
      </c>
      <c r="H74" s="2951">
        <v>1</v>
      </c>
      <c r="I74" s="2951">
        <v>0.33</v>
      </c>
      <c r="J74" s="2951">
        <v>0.5</v>
      </c>
      <c r="K74" s="2951">
        <v>0.5</v>
      </c>
      <c r="L74" s="2952">
        <v>0</v>
      </c>
      <c r="N74" s="2964">
        <f t="shared" si="187"/>
        <v>1.3391770148526898E-2</v>
      </c>
      <c r="O74" s="2965">
        <f t="shared" si="187"/>
        <v>1.063264221158958E-2</v>
      </c>
      <c r="P74" s="2965">
        <f t="shared" si="188"/>
        <v>2.2244466688911134E-2</v>
      </c>
      <c r="Q74" s="2965">
        <f t="shared" si="188"/>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2604</v>
      </c>
      <c r="B75" s="2967">
        <v>111</v>
      </c>
      <c r="C75" s="2967">
        <v>114</v>
      </c>
      <c r="D75" s="2967">
        <f t="shared" si="156"/>
        <v>114</v>
      </c>
      <c r="E75" s="2967">
        <v>108</v>
      </c>
      <c r="F75" s="2968">
        <v>104</v>
      </c>
      <c r="G75" s="3537">
        <v>2003</v>
      </c>
      <c r="H75" s="2957">
        <v>4</v>
      </c>
      <c r="I75" s="2969"/>
      <c r="J75" s="2969"/>
      <c r="K75" s="2969"/>
      <c r="L75" s="2969"/>
      <c r="N75" s="2970"/>
      <c r="O75" s="2969"/>
      <c r="P75" s="2969"/>
      <c r="Q75" s="2969"/>
      <c r="S75" s="2970"/>
      <c r="T75" s="2969"/>
      <c r="U75" s="2969"/>
      <c r="V75" s="2969"/>
      <c r="X75" s="2961"/>
      <c r="Y75" s="2961"/>
      <c r="Z75" s="2961"/>
    </row>
    <row r="76" spans="1:26">
      <c r="A76" s="2897" t="s">
        <v>2605</v>
      </c>
      <c r="B76" s="2971">
        <f t="shared" ref="B76:C78" si="191">B77+(B$75-B$79)/4</f>
        <v>109.75</v>
      </c>
      <c r="C76" s="2971">
        <f t="shared" si="191"/>
        <v>112.25</v>
      </c>
      <c r="D76" s="2971">
        <f t="shared" si="156"/>
        <v>112.25</v>
      </c>
      <c r="E76" s="2971">
        <f t="shared" ref="E76:F78" si="192">E77+(E$75-E$79)/4</f>
        <v>107.25</v>
      </c>
      <c r="F76" s="2971">
        <f t="shared" si="192"/>
        <v>103.5</v>
      </c>
      <c r="G76" s="3535">
        <v>2003</v>
      </c>
      <c r="H76" s="2924">
        <v>3</v>
      </c>
      <c r="I76" s="2969"/>
      <c r="J76" s="2969"/>
      <c r="K76" s="2969"/>
      <c r="L76" s="2969"/>
      <c r="X76" s="2961"/>
      <c r="Y76" s="2961"/>
      <c r="Z76" s="2961"/>
    </row>
    <row r="77" spans="1:26">
      <c r="A77" s="2897" t="s">
        <v>2606</v>
      </c>
      <c r="B77" s="2971">
        <f t="shared" si="191"/>
        <v>108.5</v>
      </c>
      <c r="C77" s="2971">
        <f t="shared" si="191"/>
        <v>110.5</v>
      </c>
      <c r="D77" s="2971">
        <f t="shared" si="156"/>
        <v>110.5</v>
      </c>
      <c r="E77" s="2971">
        <f t="shared" si="192"/>
        <v>106.5</v>
      </c>
      <c r="F77" s="2971">
        <f t="shared" si="192"/>
        <v>103</v>
      </c>
      <c r="G77" s="3535">
        <v>2003</v>
      </c>
      <c r="H77" s="2912">
        <v>2</v>
      </c>
      <c r="I77" s="2969"/>
      <c r="J77" s="2969"/>
      <c r="K77" s="2969"/>
      <c r="L77" s="2969"/>
      <c r="X77" s="2961"/>
      <c r="Y77" s="2961"/>
      <c r="Z77" s="2961"/>
    </row>
    <row r="78" spans="1:26" ht="13.5" thickBot="1">
      <c r="A78" s="2897" t="s">
        <v>2607</v>
      </c>
      <c r="B78" s="2971">
        <f t="shared" si="191"/>
        <v>107.25</v>
      </c>
      <c r="C78" s="2971">
        <f t="shared" si="191"/>
        <v>108.75</v>
      </c>
      <c r="D78" s="2971">
        <f t="shared" si="156"/>
        <v>108.75</v>
      </c>
      <c r="E78" s="2971">
        <f t="shared" si="192"/>
        <v>105.75</v>
      </c>
      <c r="F78" s="2971">
        <f t="shared" si="192"/>
        <v>102.5</v>
      </c>
      <c r="G78" s="3538">
        <v>2003</v>
      </c>
      <c r="H78" s="2972">
        <v>1</v>
      </c>
      <c r="I78" s="2969"/>
      <c r="J78" s="2969"/>
      <c r="K78" s="2969"/>
      <c r="L78" s="2969"/>
      <c r="S78" s="2900"/>
      <c r="T78" s="2886"/>
      <c r="U78" s="2886"/>
      <c r="X78" s="2961"/>
      <c r="Y78" s="2961"/>
      <c r="Z78" s="2961"/>
    </row>
    <row r="79" spans="1:26" ht="13.5" thickBot="1">
      <c r="A79" s="2897" t="s">
        <v>2608</v>
      </c>
      <c r="B79" s="2973">
        <v>106</v>
      </c>
      <c r="C79" s="2973">
        <v>107</v>
      </c>
      <c r="D79" s="2973">
        <f t="shared" si="156"/>
        <v>107</v>
      </c>
      <c r="E79" s="2973">
        <v>105</v>
      </c>
      <c r="F79" s="2974">
        <v>102</v>
      </c>
      <c r="G79" s="3537">
        <v>2002</v>
      </c>
      <c r="H79" s="2921">
        <v>4</v>
      </c>
      <c r="I79" s="2969"/>
      <c r="J79" s="2969"/>
      <c r="K79" s="2969"/>
      <c r="L79" s="2969"/>
      <c r="N79" s="2970"/>
      <c r="O79" s="2969"/>
      <c r="P79" s="2969"/>
      <c r="Q79" s="2969"/>
      <c r="S79" s="2970"/>
      <c r="T79" s="2969"/>
      <c r="U79" s="2969"/>
      <c r="V79" s="2969"/>
      <c r="X79" s="2961"/>
      <c r="Y79" s="2961"/>
      <c r="Z79" s="2961"/>
    </row>
    <row r="80" spans="1:26">
      <c r="A80" s="2897" t="s">
        <v>2609</v>
      </c>
      <c r="B80" s="2971">
        <f t="shared" ref="B80:C82" si="193">B81+(B$79-B$83)/4</f>
        <v>105</v>
      </c>
      <c r="C80" s="2971">
        <f t="shared" si="193"/>
        <v>106</v>
      </c>
      <c r="D80" s="2971">
        <f t="shared" si="156"/>
        <v>106</v>
      </c>
      <c r="E80" s="2971">
        <f t="shared" ref="E80:F82" si="194">E81+(E$79-E$83)/4</f>
        <v>104.5</v>
      </c>
      <c r="F80" s="2971">
        <f t="shared" si="194"/>
        <v>101.5</v>
      </c>
      <c r="G80" s="3535">
        <v>2002</v>
      </c>
      <c r="H80" s="2924">
        <v>3</v>
      </c>
      <c r="I80" s="2969"/>
      <c r="J80" s="2969"/>
      <c r="K80" s="2969"/>
      <c r="L80" s="2969"/>
      <c r="X80" s="2961"/>
      <c r="Y80" s="2961"/>
      <c r="Z80" s="2961"/>
    </row>
    <row r="81" spans="1:26">
      <c r="A81" s="2897" t="s">
        <v>2610</v>
      </c>
      <c r="B81" s="2971">
        <f t="shared" si="193"/>
        <v>104</v>
      </c>
      <c r="C81" s="2971">
        <f t="shared" si="193"/>
        <v>105</v>
      </c>
      <c r="D81" s="2971">
        <f t="shared" si="156"/>
        <v>105</v>
      </c>
      <c r="E81" s="2971">
        <f t="shared" si="194"/>
        <v>104</v>
      </c>
      <c r="F81" s="2971">
        <f t="shared" si="194"/>
        <v>101</v>
      </c>
      <c r="G81" s="3535">
        <v>2002</v>
      </c>
      <c r="H81" s="2912">
        <v>2</v>
      </c>
      <c r="I81" s="2969"/>
      <c r="J81" s="2969"/>
      <c r="K81" s="2969"/>
      <c r="L81" s="2969"/>
      <c r="X81" s="2961"/>
      <c r="Y81" s="2961"/>
      <c r="Z81" s="2961"/>
    </row>
    <row r="82" spans="1:26" s="2934" customFormat="1" ht="13.5" thickBot="1">
      <c r="A82" s="2930" t="s">
        <v>2611</v>
      </c>
      <c r="B82" s="2937">
        <f t="shared" si="193"/>
        <v>103</v>
      </c>
      <c r="C82" s="2937">
        <f t="shared" si="193"/>
        <v>104</v>
      </c>
      <c r="D82" s="2937">
        <f t="shared" si="156"/>
        <v>104</v>
      </c>
      <c r="E82" s="2937">
        <f t="shared" si="194"/>
        <v>103.5</v>
      </c>
      <c r="F82" s="2937">
        <f t="shared" si="194"/>
        <v>100.5</v>
      </c>
      <c r="G82" s="3538">
        <v>2002</v>
      </c>
      <c r="H82" s="2975">
        <v>1</v>
      </c>
      <c r="I82" s="2976"/>
      <c r="J82" s="2976"/>
      <c r="K82" s="2976"/>
      <c r="L82" s="2976"/>
      <c r="N82" s="2977"/>
      <c r="S82" s="2977"/>
      <c r="X82" s="2978"/>
      <c r="Y82" s="2978"/>
      <c r="Z82" s="2978"/>
    </row>
    <row r="83" spans="1:26" ht="13.5" thickBot="1">
      <c r="B83" s="2979">
        <v>102</v>
      </c>
      <c r="C83" s="2980">
        <v>103</v>
      </c>
      <c r="D83" s="2980">
        <f t="shared" si="156"/>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2612</v>
      </c>
      <c r="G85" s="2984"/>
      <c r="N85" s="2984"/>
      <c r="S85" s="2984"/>
    </row>
    <row r="86" spans="1:26" s="2983" customFormat="1">
      <c r="A86" s="2983" t="s">
        <v>2613</v>
      </c>
      <c r="G86" s="2984"/>
      <c r="N86" s="2984"/>
      <c r="S86" s="2984"/>
    </row>
    <row r="87" spans="1:26" s="2983" customFormat="1">
      <c r="A87" s="2983" t="s">
        <v>2614</v>
      </c>
      <c r="G87" s="2984"/>
      <c r="I87" s="2985"/>
      <c r="J87" s="2985"/>
      <c r="K87" s="2985"/>
      <c r="L87" s="2985"/>
      <c r="N87" s="2986"/>
      <c r="O87" s="2985"/>
      <c r="P87" s="2985"/>
      <c r="Q87" s="2985"/>
      <c r="S87" s="2986"/>
      <c r="T87" s="2985"/>
      <c r="U87" s="2985"/>
      <c r="V87" s="2985"/>
    </row>
    <row r="88" spans="1:26" s="2983" customFormat="1">
      <c r="A88" s="2983" t="s">
        <v>2615</v>
      </c>
      <c r="G88" s="2984"/>
      <c r="N88" s="2984"/>
      <c r="S88" s="2984"/>
    </row>
    <row r="95" spans="1:26" ht="13.5" thickBot="1"/>
    <row r="96" spans="1:26">
      <c r="G96" s="2885"/>
      <c r="S96" s="2987" t="s">
        <v>2616</v>
      </c>
      <c r="T96" s="2988" t="s">
        <v>2617</v>
      </c>
      <c r="U96" s="2988" t="s">
        <v>2618</v>
      </c>
      <c r="V96" s="2988" t="s">
        <v>2619</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2917</v>
      </c>
      <c r="B1" s="3245"/>
      <c r="C1" s="3245"/>
      <c r="D1" s="3245"/>
      <c r="E1" s="3245"/>
      <c r="F1" s="3245"/>
      <c r="G1" s="3246"/>
      <c r="H1" s="3246"/>
      <c r="I1" s="3246"/>
      <c r="J1" s="3246"/>
      <c r="K1" s="3246"/>
      <c r="L1" s="3246"/>
      <c r="M1" s="3246"/>
      <c r="N1" s="3246"/>
    </row>
    <row r="2" spans="1:14" ht="14.25">
      <c r="A2" s="3251" t="s">
        <v>2912</v>
      </c>
      <c r="B2" s="3256">
        <f ca="1">SUMIF(B7:B14,"&lt;&gt;#ref!",B7:B14)</f>
        <v>0</v>
      </c>
      <c r="C2" s="3251" t="s">
        <v>2913</v>
      </c>
      <c r="D2" s="3248"/>
      <c r="E2" s="3248"/>
      <c r="F2" s="3248"/>
      <c r="G2" s="3246"/>
      <c r="H2" s="3246"/>
      <c r="I2" s="3246"/>
      <c r="J2" s="3246"/>
      <c r="K2" s="3246"/>
      <c r="L2" s="3246"/>
      <c r="M2" s="3246"/>
      <c r="N2" s="3246"/>
    </row>
    <row r="3" spans="1:14" ht="14.25">
      <c r="A3" s="3251" t="s">
        <v>2942</v>
      </c>
      <c r="B3" s="3256" t="e">
        <f ca="1">ROUND(B2*10000/E3,0)</f>
        <v>#DIV/0!</v>
      </c>
      <c r="C3" s="3251" t="s">
        <v>2067</v>
      </c>
      <c r="D3" s="3251" t="s">
        <v>2914</v>
      </c>
      <c r="E3" s="3249">
        <f ca="1">SUMIF(E7:E14,"&lt;&gt;#ref!",E7:E14)</f>
        <v>0</v>
      </c>
      <c r="F3" s="3248"/>
      <c r="G3" s="3246"/>
      <c r="H3" s="3246"/>
      <c r="I3" s="3246"/>
      <c r="J3" s="3246"/>
      <c r="K3" s="3246"/>
      <c r="L3" s="3246"/>
      <c r="M3" s="3246"/>
      <c r="N3" s="3246"/>
    </row>
    <row r="4" spans="1:14" ht="14.25">
      <c r="A4" s="3251" t="s">
        <v>2920</v>
      </c>
      <c r="B4" s="3256" t="e">
        <f ca="1">ROUND(B2*10000/E4,0)</f>
        <v>#DIV/0!</v>
      </c>
      <c r="C4" s="3251" t="s">
        <v>2067</v>
      </c>
      <c r="D4" s="3251" t="s">
        <v>2921</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2918</v>
      </c>
      <c r="B6" s="3251" t="s">
        <v>2915</v>
      </c>
      <c r="C6" s="2789"/>
      <c r="D6" s="3248"/>
      <c r="E6" s="3251" t="s">
        <v>2916</v>
      </c>
      <c r="F6" s="3251" t="s">
        <v>2919</v>
      </c>
      <c r="G6" s="3246"/>
      <c r="H6" s="3246"/>
      <c r="I6" s="3246"/>
      <c r="J6" s="3246"/>
      <c r="K6" s="3246"/>
      <c r="L6" s="3246"/>
      <c r="M6" s="3246"/>
      <c r="N6" s="3246"/>
    </row>
    <row r="7" spans="1:14" ht="14.25">
      <c r="A7" s="3254"/>
      <c r="B7" s="3256" t="e">
        <f ca="1">SUMIF(INDIRECT("'"&amp;A7&amp;"'"&amp;"!A:A"),"总价",INDIRECT("'"&amp;A7&amp;"'"&amp;"!B:B"))</f>
        <v>#REF!</v>
      </c>
      <c r="C7" s="3251" t="s">
        <v>2913</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2913</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2913</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2913</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2913</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2913</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2913</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2913</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受贵公司委托，我公司对北京市国有建设用地使用权进行了预评估。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0平方米。根据《建设工程规划许可证》[]、《出让合同》[]，估价对象规划建筑面积为9501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2021年6月24日</v>
      </c>
    </row>
    <row r="12" spans="1:4" ht="18.75">
      <c r="A12" s="1711" t="s">
        <v>2014</v>
      </c>
    </row>
    <row r="13" spans="1:4" ht="18.75">
      <c r="A13" s="1705" t="s">
        <v>2910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根据《国有土地使用证》[]，估价对象（分摊）出让国有建设用地使用权面积为0平方米。根据《建设工程规划许可证》[]、《出让合同》[]，估价对象规划建筑面积为9501平方米。</v>
      </c>
    </row>
    <row r="21" spans="1:1" ht="18.75">
      <c r="A21" s="1705" t="s">
        <v>2063</v>
      </c>
    </row>
    <row r="22" spans="1:1" ht="18.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5" t="str">
        <f>IF(项目基本情况!B16="出让","本次评估设定估价对象剩余土地使用年限为"&amp;项目基本情况!D20&amp;"。","")</f>
        <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2359</v>
      </c>
      <c r="F1" s="2242">
        <f ca="1">J54</f>
        <v>-1.5</v>
      </c>
      <c r="G1" s="763">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4">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5" t="s">
        <v>689</v>
      </c>
      <c r="I3" s="1939"/>
      <c r="J3" s="1939"/>
      <c r="K3" s="1940"/>
      <c r="L3" s="1939"/>
      <c r="M3" s="1939"/>
    </row>
    <row r="4" spans="1:25" ht="18" customHeight="1">
      <c r="A4" s="1574" t="s">
        <v>690</v>
      </c>
      <c r="B4" s="1304" t="e">
        <f ca="1">ROUND(B2*10000/'数据-汇总表'!D3,0)</f>
        <v>#DIV/0!</v>
      </c>
      <c r="C4" s="421"/>
      <c r="D4" s="1937"/>
      <c r="E4" s="1938"/>
      <c r="F4" s="1938"/>
      <c r="G4" s="1524"/>
      <c r="H4" s="765"/>
      <c r="I4" s="1939"/>
      <c r="J4" s="1939"/>
      <c r="K4" s="1940"/>
      <c r="L4" s="1939"/>
      <c r="M4" s="1939"/>
    </row>
    <row r="5" spans="1:25" ht="18" customHeight="1" thickBot="1">
      <c r="A5" s="1575"/>
      <c r="B5" s="423" t="e">
        <f ca="1">ROUND(B2/('数据-汇总表'!D3/666.67),0)</f>
        <v>#DIV/0!</v>
      </c>
      <c r="C5" s="424" t="s">
        <v>691</v>
      </c>
      <c r="D5" s="1937"/>
      <c r="E5" s="1938"/>
      <c r="F5" s="1938"/>
      <c r="G5" s="1524"/>
      <c r="H5" s="765"/>
      <c r="I5" s="1939"/>
      <c r="J5" s="1939"/>
      <c r="K5" s="1940"/>
      <c r="L5" s="1939"/>
      <c r="M5" s="1939"/>
    </row>
    <row r="6" spans="1:25" ht="18" customHeight="1">
      <c r="A6" s="1742" t="s">
        <v>692</v>
      </c>
      <c r="B6" s="1734" t="s">
        <v>693</v>
      </c>
      <c r="C6" s="1734" t="s">
        <v>626</v>
      </c>
      <c r="D6" s="1734" t="s">
        <v>627</v>
      </c>
      <c r="E6" s="768" t="s">
        <v>628</v>
      </c>
      <c r="F6" s="769"/>
      <c r="G6" s="1526"/>
      <c r="H6" s="1742" t="s">
        <v>624</v>
      </c>
      <c r="I6" s="1734" t="s">
        <v>625</v>
      </c>
      <c r="J6" s="1734" t="s">
        <v>626</v>
      </c>
      <c r="K6" s="1734" t="s">
        <v>627</v>
      </c>
      <c r="L6" s="768" t="s">
        <v>628</v>
      </c>
      <c r="M6" s="769"/>
    </row>
    <row r="7" spans="1:25" ht="18" customHeight="1">
      <c r="A7" s="770">
        <v>1</v>
      </c>
      <c r="B7" s="771" t="s">
        <v>2440</v>
      </c>
      <c r="C7" s="53">
        <f ca="1">C8+C12+C14</f>
        <v>0</v>
      </c>
      <c r="D7" s="2348" t="s">
        <v>2443</v>
      </c>
      <c r="E7" s="2342"/>
      <c r="F7" s="2343"/>
      <c r="G7" s="1526"/>
      <c r="H7" s="770">
        <v>1</v>
      </c>
      <c r="I7" s="771" t="s">
        <v>2440</v>
      </c>
      <c r="J7" s="53">
        <f ca="1">J8+J12+J14</f>
        <v>0</v>
      </c>
      <c r="K7" s="2348" t="s">
        <v>2443</v>
      </c>
      <c r="L7" s="2342"/>
      <c r="M7" s="2343"/>
    </row>
    <row r="8" spans="1:25" ht="18" customHeight="1">
      <c r="A8" s="1744" t="s">
        <v>1815</v>
      </c>
      <c r="B8" s="3546" t="s">
        <v>2445</v>
      </c>
      <c r="C8" s="1739">
        <f ca="1">ROUND(F8*F10*F9*(1-F11)/10000,0)</f>
        <v>0</v>
      </c>
      <c r="D8" s="1736" t="s">
        <v>2516</v>
      </c>
      <c r="E8" s="61" t="s">
        <v>631</v>
      </c>
      <c r="F8" s="774">
        <f ca="1">INDIRECT("'数据-取费表'!u"&amp;$G$1)</f>
        <v>0</v>
      </c>
      <c r="G8" s="1526"/>
      <c r="H8" s="2356" t="s">
        <v>1815</v>
      </c>
      <c r="I8" s="3546" t="s">
        <v>2445</v>
      </c>
      <c r="J8" s="772">
        <f ca="1">ROUND(M8*M10*M9*(1-M11)/10000,0)</f>
        <v>0</v>
      </c>
      <c r="K8" s="338" t="s">
        <v>2516</v>
      </c>
      <c r="L8" s="773" t="s">
        <v>1729</v>
      </c>
      <c r="M8" s="774">
        <f ca="1">INDIRECT("'数据-取费表'!z"&amp;$G$1)</f>
        <v>0</v>
      </c>
    </row>
    <row r="9" spans="1:25" ht="18" customHeight="1">
      <c r="A9" s="2352"/>
      <c r="B9" s="3547"/>
      <c r="C9" s="1740"/>
      <c r="D9" s="1737"/>
      <c r="E9" s="61" t="s">
        <v>632</v>
      </c>
      <c r="F9" s="774">
        <f ca="1">IF(INDIRECT("'数据-取费表'!ah"&amp;$G$1)="",INDIRECT("'数据-取费表'!k"&amp;$G$1),INDIRECT("'数据-取费表'!ah"&amp;$G$1))</f>
        <v>0</v>
      </c>
      <c r="G9" s="1526"/>
      <c r="H9" s="2341"/>
      <c r="I9" s="3547"/>
      <c r="J9" s="777"/>
      <c r="K9" s="778"/>
      <c r="L9" s="773" t="s">
        <v>1730</v>
      </c>
      <c r="M9" s="774">
        <f ca="1">F9</f>
        <v>0</v>
      </c>
    </row>
    <row r="10" spans="1:25" ht="18" customHeight="1">
      <c r="A10" s="2345"/>
      <c r="B10" s="3548"/>
      <c r="C10" s="1740"/>
      <c r="D10" s="1737"/>
      <c r="E10" s="61" t="s">
        <v>633</v>
      </c>
      <c r="F10" s="774">
        <f ca="1">INDIRECT("'数据-取费表'!ai"&amp;$G$1)</f>
        <v>0</v>
      </c>
      <c r="G10" s="1526"/>
      <c r="H10" s="2341"/>
      <c r="I10" s="3548"/>
      <c r="J10" s="777"/>
      <c r="K10" s="778"/>
      <c r="L10" s="773" t="s">
        <v>1731</v>
      </c>
      <c r="M10" s="774">
        <f ca="1">INDIRECT("'数据-取费表'!ai"&amp;$G$1)</f>
        <v>0</v>
      </c>
    </row>
    <row r="11" spans="1:25" ht="18" customHeight="1">
      <c r="A11" s="775"/>
      <c r="B11" s="3549"/>
      <c r="C11" s="1740"/>
      <c r="D11" s="1737"/>
      <c r="E11" s="61" t="s">
        <v>634</v>
      </c>
      <c r="F11" s="783">
        <f ca="1">INDIRECT("'数据-取费表'!w"&amp;$G$1)</f>
        <v>0</v>
      </c>
      <c r="G11" s="1526"/>
      <c r="H11" s="2357"/>
      <c r="I11" s="3548"/>
      <c r="J11" s="777"/>
      <c r="K11" s="778"/>
      <c r="L11" s="784" t="s">
        <v>1732</v>
      </c>
      <c r="M11" s="785">
        <f ca="1">INDIRECT("'数据-取费表'!ab"&amp;$G$1)</f>
        <v>0</v>
      </c>
    </row>
    <row r="12" spans="1:25" ht="18" customHeight="1">
      <c r="A12" s="1744" t="s">
        <v>1816</v>
      </c>
      <c r="B12" s="2346" t="s">
        <v>2441</v>
      </c>
      <c r="C12" s="788">
        <f ca="1">ROUND(IF(F12="押一",C8/12*F13,IF(F12="押二",C8/12*2*F13,IF(F12="押三",C8/12*3*F13,C13*F13))),0)</f>
        <v>0</v>
      </c>
      <c r="D12" s="2353" t="s">
        <v>2939</v>
      </c>
      <c r="E12" s="2350" t="s">
        <v>2446</v>
      </c>
      <c r="F12" s="2464"/>
      <c r="G12" s="1526"/>
      <c r="H12" s="2413" t="s">
        <v>1816</v>
      </c>
      <c r="I12" s="2418" t="s">
        <v>2441</v>
      </c>
      <c r="J12" s="772">
        <f ca="1">ROUND(IF(M12="押一",J8/12*M13,IF(M12="押二",J8/12*2*M13,IF(M12="押三",J8/12*3*M13,J13*M13))),0)</f>
        <v>0</v>
      </c>
      <c r="K12" s="2353" t="s">
        <v>2939</v>
      </c>
      <c r="L12" s="2350" t="s">
        <v>2446</v>
      </c>
      <c r="M12" s="2464"/>
    </row>
    <row r="13" spans="1:25" ht="18" customHeight="1">
      <c r="A13" s="779"/>
      <c r="B13" s="2347" t="s">
        <v>2555</v>
      </c>
      <c r="C13" s="2351"/>
      <c r="D13" s="778"/>
      <c r="E13" s="2350" t="s">
        <v>2438</v>
      </c>
      <c r="F13" s="785">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1">
        <f ca="1">ROUND(C31*F15,0)</f>
        <v>0</v>
      </c>
      <c r="D15" s="1748" t="s">
        <v>636</v>
      </c>
      <c r="E15" s="784" t="s">
        <v>637</v>
      </c>
      <c r="F15" s="789">
        <f ca="1">INDIRECT("'数据-取费表'!y"&amp;$G$1)</f>
        <v>0</v>
      </c>
      <c r="G15" s="1526"/>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2" t="s">
        <v>640</v>
      </c>
      <c r="E16" s="1893"/>
      <c r="F16" s="794"/>
      <c r="G16" s="1526"/>
      <c r="H16" s="792" t="s">
        <v>2058</v>
      </c>
      <c r="I16" s="2110" t="s">
        <v>2805</v>
      </c>
      <c r="J16" s="53">
        <f ca="1">C31</f>
        <v>0</v>
      </c>
      <c r="K16" s="26"/>
      <c r="L16" s="790"/>
      <c r="M16" s="791"/>
    </row>
    <row r="17" spans="1:25" s="1946" customFormat="1" ht="18" customHeight="1">
      <c r="A17" s="792" t="s">
        <v>1840</v>
      </c>
      <c r="B17" s="773" t="s">
        <v>641</v>
      </c>
      <c r="C17" s="53">
        <f ca="1">ROUND(C16*F17,0)</f>
        <v>0</v>
      </c>
      <c r="D17" s="795" t="s">
        <v>642</v>
      </c>
      <c r="E17" s="795" t="s">
        <v>643</v>
      </c>
      <c r="F17" s="796">
        <f>'数据-取费表'!B33</f>
        <v>0.03</v>
      </c>
      <c r="G17" s="1527"/>
      <c r="H17" s="792" t="s">
        <v>2059</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5"/>
      <c r="M18" s="56"/>
    </row>
    <row r="19" spans="1:25" s="1946" customFormat="1" ht="18" customHeight="1">
      <c r="A19" s="792" t="s">
        <v>1842</v>
      </c>
      <c r="B19" s="773" t="s">
        <v>647</v>
      </c>
      <c r="C19" s="53">
        <f ca="1">ROUND(F19*(INDIRECT("'数据-取费表'!k"&amp;$G$1)+INDIRECT("'数据-取费表'!S"&amp;$G$1))/10000,0)</f>
        <v>0</v>
      </c>
      <c r="D19" s="773" t="s">
        <v>648</v>
      </c>
      <c r="E19" s="773" t="s">
        <v>649</v>
      </c>
      <c r="F19" s="56">
        <f>'数据-取费表'!B35</f>
        <v>250</v>
      </c>
      <c r="G19" s="1527"/>
      <c r="H19" s="792" t="s">
        <v>2058</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1867</v>
      </c>
      <c r="B21" s="773" t="s">
        <v>656</v>
      </c>
      <c r="C21" s="53">
        <f ca="1">SUM(C16:C20)</f>
        <v>0</v>
      </c>
      <c r="D21" s="259" t="s">
        <v>657</v>
      </c>
      <c r="E21" s="1895"/>
      <c r="F21" s="56"/>
      <c r="G21" s="1526"/>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1868</v>
      </c>
      <c r="B22" s="773" t="s">
        <v>660</v>
      </c>
      <c r="C22" s="53">
        <f ca="1">ROUND(C21*F22,0)</f>
        <v>0</v>
      </c>
      <c r="D22" s="800" t="s">
        <v>661</v>
      </c>
      <c r="E22" s="773" t="s">
        <v>643</v>
      </c>
      <c r="F22" s="798">
        <f>'数据-取费表'!B37</f>
        <v>0.02</v>
      </c>
      <c r="G22" s="1527"/>
      <c r="H22" s="1746" t="s">
        <v>1841</v>
      </c>
      <c r="I22" s="1736" t="s">
        <v>662</v>
      </c>
      <c r="J22" s="54">
        <f ca="1">ROUND(M22*M23/10000,0)</f>
        <v>0</v>
      </c>
      <c r="K22" s="802" t="s">
        <v>663</v>
      </c>
      <c r="L22" s="773" t="s">
        <v>664</v>
      </c>
      <c r="M22" s="631">
        <f>'数据-取费表'!B52</f>
        <v>24</v>
      </c>
      <c r="N22" s="1945"/>
      <c r="O22" s="1945"/>
      <c r="P22" s="1945"/>
      <c r="Q22" s="1945"/>
      <c r="R22" s="1945"/>
      <c r="S22" s="1945"/>
      <c r="T22" s="1945"/>
      <c r="U22" s="1945"/>
      <c r="V22" s="1945"/>
      <c r="W22" s="1945"/>
      <c r="X22" s="1945"/>
      <c r="Y22" s="1945"/>
    </row>
    <row r="23" spans="1:25" s="1946" customFormat="1" ht="18" customHeight="1">
      <c r="A23" s="792" t="s">
        <v>1869</v>
      </c>
      <c r="B23" s="773" t="s">
        <v>665</v>
      </c>
      <c r="C23" s="53" t="s">
        <v>1</v>
      </c>
      <c r="D23" s="800" t="s">
        <v>666</v>
      </c>
      <c r="E23" s="773" t="s">
        <v>667</v>
      </c>
      <c r="F23" s="798">
        <f>'数据-取费表'!B38</f>
        <v>0.02</v>
      </c>
      <c r="G23" s="1527"/>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1870</v>
      </c>
      <c r="B24" s="773" t="s">
        <v>669</v>
      </c>
      <c r="C24" s="53"/>
      <c r="D24" s="2423" t="str">
        <f>IF(F25&lt;=1,"单利计息。","复利计息。")&amp;"建造成本、管理费用、销售费用产生的利息。"</f>
        <v>复利计息。建造成本、管理费用、销售费用产生的利息。</v>
      </c>
      <c r="E24" s="1895"/>
      <c r="F24" s="56"/>
      <c r="G24" s="1526"/>
      <c r="H24" s="1745" t="s">
        <v>2059</v>
      </c>
      <c r="I24" s="773" t="s">
        <v>670</v>
      </c>
      <c r="J24" s="53">
        <f ca="1">ROUND(J16*M24,0)</f>
        <v>0</v>
      </c>
      <c r="K24" s="1890" t="s">
        <v>671</v>
      </c>
      <c r="L24" s="773" t="s">
        <v>643</v>
      </c>
      <c r="M24" s="805">
        <f ca="1">INDIRECT("'数据-取费表'!Ak"&amp;$G$1)</f>
        <v>0</v>
      </c>
    </row>
    <row r="25" spans="1:25" s="1946" customFormat="1" ht="18" customHeight="1">
      <c r="A25" s="792" t="s">
        <v>1866</v>
      </c>
      <c r="B25" s="773" t="s">
        <v>2421</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1.5</v>
      </c>
      <c r="G25" s="1527"/>
      <c r="H25" s="792" t="s">
        <v>1869</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1840</v>
      </c>
      <c r="B26" s="773" t="s">
        <v>675</v>
      </c>
      <c r="C26" s="53">
        <f ca="1">ROUND(IF('数据-取费表'!B22&lt;=1,F23*F26*F25/2,F23*(POWER((1+F26),F25/2)-1)),4)</f>
        <v>6.9999999999999999E-4</v>
      </c>
      <c r="D26" s="2422" t="str">
        <f>IF(F25&lt;=1,"销售费用×利率×(建设周期÷2)","销售费用×((1+利率)^(建设周期÷2)-1)")</f>
        <v>销售费用×((1+利率)^(建设周期÷2)-1)</v>
      </c>
      <c r="E26" s="773" t="s">
        <v>676</v>
      </c>
      <c r="F26" s="807">
        <f ca="1">'数据-取费表'!B40</f>
        <v>4.7500000000000001E-2</v>
      </c>
      <c r="G26" s="1527"/>
      <c r="H26" s="792" t="s">
        <v>1870</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1872</v>
      </c>
      <c r="B27" s="773" t="s">
        <v>678</v>
      </c>
      <c r="C27" s="53"/>
      <c r="D27" s="259" t="s">
        <v>679</v>
      </c>
      <c r="E27" s="1895"/>
      <c r="F27" s="56"/>
      <c r="G27" s="1526"/>
      <c r="H27" s="786" t="s">
        <v>1819</v>
      </c>
      <c r="I27" s="2723" t="s">
        <v>2802</v>
      </c>
      <c r="J27" s="788">
        <f ca="1">J7-J18</f>
        <v>0</v>
      </c>
      <c r="K27" s="1892" t="s">
        <v>694</v>
      </c>
      <c r="L27" s="1894"/>
      <c r="M27" s="808"/>
    </row>
    <row r="28" spans="1:25" ht="18" customHeight="1">
      <c r="A28" s="792" t="s">
        <v>1866</v>
      </c>
      <c r="B28" s="773" t="s">
        <v>2422</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6" customFormat="1" ht="18" customHeight="1">
      <c r="A30" s="792" t="s">
        <v>1873</v>
      </c>
      <c r="B30" s="773" t="s">
        <v>681</v>
      </c>
      <c r="C30" s="53">
        <f>ROUND(F30/(1+'数据-取费表'!C42),4)</f>
        <v>5.33E-2</v>
      </c>
      <c r="D30" s="800" t="s">
        <v>703</v>
      </c>
      <c r="E30" s="773" t="s">
        <v>643</v>
      </c>
      <c r="F30" s="798">
        <f>'数据-取费表'!B41</f>
        <v>5.6000000000000001E-2</v>
      </c>
      <c r="G30" s="1527"/>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1" t="s">
        <v>1863</v>
      </c>
      <c r="I31" s="2724" t="s">
        <v>2804</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1867</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2993</v>
      </c>
      <c r="I33" s="1948"/>
      <c r="J33" s="1949"/>
      <c r="K33" s="1950"/>
      <c r="L33" s="1951"/>
      <c r="M33" s="1952"/>
    </row>
    <row r="34" spans="1:18" ht="18" customHeight="1">
      <c r="A34" s="792" t="s">
        <v>1866</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4"/>
      <c r="H35" s="1959"/>
      <c r="I35" s="1959"/>
      <c r="J35" s="1959"/>
      <c r="K35" s="1960"/>
      <c r="L35" s="1959"/>
      <c r="M35" s="1959"/>
    </row>
    <row r="36" spans="1:18" ht="18" customHeight="1">
      <c r="A36" s="801" t="s">
        <v>1871</v>
      </c>
      <c r="B36" s="338" t="s">
        <v>662</v>
      </c>
      <c r="C36" s="54">
        <f ca="1">ROUND(F36*F37/10000,1)</f>
        <v>0</v>
      </c>
      <c r="D36" s="802" t="s">
        <v>663</v>
      </c>
      <c r="E36" s="773" t="s">
        <v>664</v>
      </c>
      <c r="F36" s="631">
        <f>'数据-取费表'!B52</f>
        <v>24</v>
      </c>
      <c r="G36" s="1944"/>
      <c r="H36" s="1947"/>
      <c r="I36" s="3545"/>
      <c r="J36" s="1961"/>
      <c r="K36" s="1962"/>
      <c r="L36" s="1961"/>
      <c r="M36" s="1961"/>
    </row>
    <row r="37" spans="1:18" ht="18" customHeight="1">
      <c r="A37" s="803"/>
      <c r="B37" s="782"/>
      <c r="C37" s="69"/>
      <c r="D37" s="804"/>
      <c r="E37" s="773" t="s">
        <v>668</v>
      </c>
      <c r="F37" s="774">
        <f ca="1">INDIRECT("'数据-取费表'!r"&amp;$G$1)</f>
        <v>0</v>
      </c>
      <c r="G37" s="1944"/>
      <c r="H37" s="1947"/>
      <c r="I37" s="3545"/>
      <c r="J37" s="1959"/>
      <c r="K37" s="1960"/>
      <c r="L37" s="1959"/>
      <c r="M37" s="1959"/>
    </row>
    <row r="38" spans="1:18" ht="18" customHeight="1">
      <c r="A38" s="792" t="s">
        <v>1868</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1869</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1867</v>
      </c>
      <c r="B42" s="823" t="s">
        <v>687</v>
      </c>
      <c r="C42" s="817">
        <f ca="1">C7-C32</f>
        <v>0</v>
      </c>
      <c r="D42" s="1892" t="s">
        <v>688</v>
      </c>
      <c r="E42" s="1894"/>
      <c r="F42" s="808"/>
      <c r="G42" s="1944"/>
      <c r="H42" s="1944"/>
      <c r="I42" s="1944"/>
      <c r="J42" s="1944"/>
      <c r="K42" s="1964"/>
      <c r="L42" s="1944"/>
      <c r="M42" s="1944"/>
    </row>
    <row r="43" spans="1:18" ht="18" customHeight="1">
      <c r="A43" s="792" t="s">
        <v>1868</v>
      </c>
      <c r="B43" s="823" t="s">
        <v>705</v>
      </c>
      <c r="C43" s="824">
        <f ca="1">ROUND(C15*F43,0)</f>
        <v>0</v>
      </c>
      <c r="D43" s="1308" t="s">
        <v>706</v>
      </c>
      <c r="E43" s="2794" t="s">
        <v>2928</v>
      </c>
      <c r="F43" s="2795">
        <f ca="1">INDIRECT("'数据-取费表'!j"&amp;$G$1)</f>
        <v>0</v>
      </c>
      <c r="G43" s="1944"/>
      <c r="H43" s="1944"/>
      <c r="I43" s="1944"/>
      <c r="J43" s="1944"/>
      <c r="K43" s="1964"/>
      <c r="L43" s="1944"/>
      <c r="M43" s="1944"/>
    </row>
    <row r="44" spans="1:18" ht="18" customHeight="1">
      <c r="A44" s="792" t="s">
        <v>1869</v>
      </c>
      <c r="B44" s="823" t="s">
        <v>707</v>
      </c>
      <c r="C44" s="1309">
        <f ca="1">C42-C43</f>
        <v>0</v>
      </c>
      <c r="D44" s="456" t="s">
        <v>708</v>
      </c>
      <c r="E44" s="457"/>
      <c r="F44" s="458"/>
      <c r="G44" s="1944"/>
      <c r="H44" s="1944"/>
      <c r="I44" s="1944"/>
      <c r="J44" s="1944"/>
      <c r="K44" s="1964"/>
      <c r="L44" s="1944"/>
      <c r="M44" s="1944"/>
    </row>
    <row r="45" spans="1:18" ht="18" customHeight="1">
      <c r="A45" s="792" t="s">
        <v>1870</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2931</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2943</v>
      </c>
      <c r="J54" s="2857">
        <f ca="1">IF(M48="住宅",MAX(J52,L49-'数据-取费表'!B20),MIN(J52,L49-'数据-取费表'!B20))</f>
        <v>-1.5</v>
      </c>
      <c r="K54" s="3550"/>
      <c r="L54" s="3551"/>
      <c r="O54" s="2255" t="s">
        <v>2373</v>
      </c>
      <c r="P54" s="2253" t="s">
        <v>2374</v>
      </c>
      <c r="Q54" s="2254">
        <f ca="1">J54</f>
        <v>-1.5</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2911</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4">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1716</v>
      </c>
      <c r="B1" s="729"/>
      <c r="C1" s="762"/>
      <c r="D1" s="2797" t="s">
        <v>943</v>
      </c>
      <c r="E1" s="2241" t="s">
        <v>2359</v>
      </c>
      <c r="F1" s="2242">
        <f ca="1">J53</f>
        <v>0</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1717</v>
      </c>
      <c r="B2" s="764" t="e">
        <f ca="1">C40+J29+L46</f>
        <v>#DIV/0!</v>
      </c>
      <c r="C2" s="3263"/>
      <c r="D2" s="3264"/>
      <c r="E2" s="3265"/>
      <c r="F2" s="3265"/>
      <c r="G2" s="3259"/>
      <c r="H2" s="1939"/>
      <c r="I2" s="1939"/>
      <c r="J2" s="1939"/>
      <c r="K2" s="1940"/>
      <c r="L2" s="1939"/>
      <c r="M2" s="1939"/>
    </row>
    <row r="3" spans="1:33" ht="18" customHeight="1" thickBot="1">
      <c r="A3" s="821" t="s">
        <v>1718</v>
      </c>
      <c r="B3" s="822">
        <f ca="1">IF(ISERROR(B2*10000/F43),0,ROUND(B2*10000/F43,0))</f>
        <v>0</v>
      </c>
      <c r="C3" s="3263"/>
      <c r="D3" s="3264"/>
      <c r="E3" s="3265"/>
      <c r="F3" s="3265"/>
      <c r="G3" s="3259"/>
      <c r="H3" s="765" t="s">
        <v>689</v>
      </c>
      <c r="I3" s="1315"/>
      <c r="J3" s="1315"/>
      <c r="K3" s="1525"/>
      <c r="L3" s="1315"/>
      <c r="M3" s="1315"/>
    </row>
    <row r="4" spans="1:33" ht="18" customHeight="1">
      <c r="A4" s="766" t="s">
        <v>1719</v>
      </c>
      <c r="B4" s="767" t="s">
        <v>1720</v>
      </c>
      <c r="C4" s="767" t="s">
        <v>1721</v>
      </c>
      <c r="D4" s="767" t="s">
        <v>627</v>
      </c>
      <c r="E4" s="768" t="s">
        <v>1722</v>
      </c>
      <c r="F4" s="769"/>
      <c r="G4" s="1944"/>
      <c r="H4" s="766" t="s">
        <v>1723</v>
      </c>
      <c r="I4" s="767" t="s">
        <v>1724</v>
      </c>
      <c r="J4" s="767" t="s">
        <v>1725</v>
      </c>
      <c r="K4" s="767" t="s">
        <v>1726</v>
      </c>
      <c r="L4" s="768" t="s">
        <v>1727</v>
      </c>
      <c r="M4" s="769"/>
    </row>
    <row r="5" spans="1:33" ht="18" customHeight="1">
      <c r="A5" s="770">
        <v>1</v>
      </c>
      <c r="B5" s="771" t="s">
        <v>2440</v>
      </c>
      <c r="C5" s="55">
        <f ca="1">C6+C10+C12</f>
        <v>0</v>
      </c>
      <c r="D5" s="2348" t="s">
        <v>2443</v>
      </c>
      <c r="E5" s="2342"/>
      <c r="F5" s="2343"/>
      <c r="G5" s="1944"/>
      <c r="H5" s="770">
        <v>1</v>
      </c>
      <c r="I5" s="771" t="s">
        <v>2440</v>
      </c>
      <c r="J5" s="55">
        <f ca="1">J6+J10+J12</f>
        <v>0</v>
      </c>
      <c r="K5" s="2348" t="s">
        <v>2443</v>
      </c>
      <c r="L5" s="2342"/>
      <c r="M5" s="2343"/>
    </row>
    <row r="6" spans="1:33" ht="18" customHeight="1">
      <c r="A6" s="1744" t="s">
        <v>1815</v>
      </c>
      <c r="B6" s="3546" t="s">
        <v>2445</v>
      </c>
      <c r="C6" s="772">
        <f ca="1">ROUND(F6*F8*F7*(1-F9)/10000,0)</f>
        <v>0</v>
      </c>
      <c r="D6" s="2349" t="s">
        <v>2444</v>
      </c>
      <c r="E6" s="773" t="s">
        <v>1729</v>
      </c>
      <c r="F6" s="774">
        <f ca="1">INDIRECT("'数据-取费表'!u"&amp;$G$1)</f>
        <v>0</v>
      </c>
      <c r="G6" s="1944"/>
      <c r="H6" s="2356" t="s">
        <v>2450</v>
      </c>
      <c r="I6" s="3546" t="s">
        <v>2445</v>
      </c>
      <c r="J6" s="772">
        <f ca="1">ROUND(M6*M8*M7*(1-M9)/10000,0)</f>
        <v>0</v>
      </c>
      <c r="K6" s="338" t="s">
        <v>1728</v>
      </c>
      <c r="L6" s="773" t="s">
        <v>1729</v>
      </c>
      <c r="M6" s="774">
        <f ca="1">INDIRECT("'数据-取费表'!z"&amp;$G$1)</f>
        <v>0</v>
      </c>
    </row>
    <row r="7" spans="1:33" ht="18" customHeight="1">
      <c r="A7" s="2352"/>
      <c r="B7" s="3547"/>
      <c r="C7" s="777"/>
      <c r="D7" s="778"/>
      <c r="E7" s="773" t="s">
        <v>1730</v>
      </c>
      <c r="F7" s="774">
        <f ca="1">IF(INDIRECT("'数据-取费表'!ah"&amp;$G$1)="",INDIRECT("'数据-取费表'!k"&amp;$G$1),INDIRECT("'数据-取费表'!ah"&amp;$G$1))</f>
        <v>0</v>
      </c>
      <c r="G7" s="1944"/>
      <c r="H7" s="2341"/>
      <c r="I7" s="3547"/>
      <c r="J7" s="777"/>
      <c r="K7" s="778"/>
      <c r="L7" s="773" t="s">
        <v>1730</v>
      </c>
      <c r="M7" s="774">
        <f ca="1">F7</f>
        <v>0</v>
      </c>
    </row>
    <row r="8" spans="1:33" ht="18" customHeight="1">
      <c r="A8" s="2345"/>
      <c r="B8" s="3548"/>
      <c r="C8" s="777"/>
      <c r="D8" s="778"/>
      <c r="E8" s="773" t="s">
        <v>1731</v>
      </c>
      <c r="F8" s="774">
        <f ca="1">INDIRECT("'数据-取费表'!ai"&amp;$G$1)</f>
        <v>0</v>
      </c>
      <c r="G8" s="1944"/>
      <c r="H8" s="2341"/>
      <c r="I8" s="3548"/>
      <c r="J8" s="777"/>
      <c r="K8" s="778"/>
      <c r="L8" s="773" t="s">
        <v>1731</v>
      </c>
      <c r="M8" s="774">
        <f ca="1">INDIRECT("'数据-取费表'!ai"&amp;$G$1)</f>
        <v>0</v>
      </c>
    </row>
    <row r="9" spans="1:33" ht="18" customHeight="1">
      <c r="A9" s="775"/>
      <c r="B9" s="3549"/>
      <c r="C9" s="777"/>
      <c r="D9" s="778"/>
      <c r="E9" s="773" t="s">
        <v>1732</v>
      </c>
      <c r="F9" s="783">
        <f ca="1">INDIRECT("'数据-取费表'!w"&amp;$G$1)</f>
        <v>0</v>
      </c>
      <c r="G9" s="1944"/>
      <c r="H9" s="2357"/>
      <c r="I9" s="3548"/>
      <c r="J9" s="777"/>
      <c r="K9" s="778"/>
      <c r="L9" s="784" t="s">
        <v>1732</v>
      </c>
      <c r="M9" s="785">
        <f ca="1">INDIRECT("'数据-取费表'!ab"&amp;$G$1)</f>
        <v>0</v>
      </c>
    </row>
    <row r="10" spans="1:33" ht="18" customHeight="1">
      <c r="A10" s="1744" t="s">
        <v>2448</v>
      </c>
      <c r="B10" s="2346" t="s">
        <v>2441</v>
      </c>
      <c r="C10" s="788">
        <f ca="1">ROUND(IF(F10="押一",C6/12*F11,IF(F10="押二",C6/12*2*F11,IF(F10="押三",C6/12*3*F11,C11*F11))),0)</f>
        <v>0</v>
      </c>
      <c r="D10" s="2353" t="s">
        <v>2939</v>
      </c>
      <c r="E10" s="2350" t="s">
        <v>2446</v>
      </c>
      <c r="F10" s="2464"/>
      <c r="G10" s="1944"/>
      <c r="H10" s="2413" t="s">
        <v>2451</v>
      </c>
      <c r="I10" s="2418" t="s">
        <v>2441</v>
      </c>
      <c r="J10" s="772">
        <f ca="1">ROUND(IF(M10="押一",J6/12*M11,IF(M10="押二",J6/12*2*M11,IF(M10="押三",J6/12*3*M11,J11*M11))),0)</f>
        <v>0</v>
      </c>
      <c r="K10" s="2353" t="s">
        <v>2939</v>
      </c>
      <c r="L10" s="2350" t="s">
        <v>2446</v>
      </c>
      <c r="M10" s="2464"/>
    </row>
    <row r="11" spans="1:33" ht="18" customHeight="1">
      <c r="A11" s="779"/>
      <c r="B11" s="2347" t="s">
        <v>2555</v>
      </c>
      <c r="C11" s="2351"/>
      <c r="D11" s="778"/>
      <c r="E11" s="2350" t="s">
        <v>2447</v>
      </c>
      <c r="F11" s="785">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1">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3" t="s">
        <v>639</v>
      </c>
      <c r="C14" s="793">
        <f ca="1">INDIRECT("'数据-取费表'!m"&amp;$G$1)+INDIRECT("'数据-取费表'!t"&amp;$G$1)</f>
        <v>0</v>
      </c>
      <c r="D14" s="1892" t="s">
        <v>1736</v>
      </c>
      <c r="E14" s="1893"/>
      <c r="F14" s="794"/>
      <c r="G14" s="1944"/>
      <c r="H14" s="1577" t="s">
        <v>1821</v>
      </c>
      <c r="I14" s="2110" t="s">
        <v>2806</v>
      </c>
      <c r="J14" s="53">
        <f ca="1">C29</f>
        <v>0</v>
      </c>
      <c r="K14" s="26"/>
      <c r="L14" s="790"/>
      <c r="M14" s="791"/>
    </row>
    <row r="15" spans="1:33" s="1946" customFormat="1" ht="18" customHeight="1" thickBot="1">
      <c r="A15" s="1576" t="s">
        <v>1876</v>
      </c>
      <c r="B15" s="773" t="s">
        <v>641</v>
      </c>
      <c r="C15" s="53">
        <f ca="1">ROUND(C14*F15,0)</f>
        <v>0</v>
      </c>
      <c r="D15" s="795" t="s">
        <v>1737</v>
      </c>
      <c r="E15" s="795" t="s">
        <v>1738</v>
      </c>
      <c r="F15" s="796">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4"/>
      <c r="H16" s="1743" t="s">
        <v>1739</v>
      </c>
      <c r="I16" s="1741" t="s">
        <v>1740</v>
      </c>
      <c r="J16" s="781">
        <f ca="1">ROUND(J17+J22+J23+J24,0)</f>
        <v>0</v>
      </c>
      <c r="K16" s="1735" t="s">
        <v>1741</v>
      </c>
      <c r="L16" s="2338"/>
      <c r="M16" s="2343"/>
    </row>
    <row r="17" spans="1:33" s="1946" customFormat="1" ht="18" customHeight="1">
      <c r="A17" s="1576" t="s">
        <v>1878</v>
      </c>
      <c r="B17" s="773" t="s">
        <v>647</v>
      </c>
      <c r="C17" s="53">
        <f ca="1">ROUND(F17*(F43+INDIRECT("'数据-取费表'!S"&amp;$G$1))/10000,0)</f>
        <v>0</v>
      </c>
      <c r="D17" s="773" t="s">
        <v>1742</v>
      </c>
      <c r="E17" s="773" t="s">
        <v>1743</v>
      </c>
      <c r="F17" s="56">
        <f>'数据-取费表'!B35</f>
        <v>250</v>
      </c>
      <c r="G17" s="3260"/>
      <c r="H17" s="1577" t="s">
        <v>1821</v>
      </c>
      <c r="I17" s="773" t="s">
        <v>650</v>
      </c>
      <c r="J17" s="3018">
        <f ca="1">ROUND(IF(AND(项目基本情况!B11="自然人",项目基本情况!B10="北京市"),J6*M17/(1+'数据-取费表'!C42),J18+J19+J20),0)</f>
        <v>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3" t="s">
        <v>653</v>
      </c>
      <c r="C18" s="53">
        <f ca="1">ROUND(C14*F18,0)</f>
        <v>0</v>
      </c>
      <c r="D18" s="773" t="s">
        <v>1737</v>
      </c>
      <c r="E18" s="773" t="s">
        <v>1738</v>
      </c>
      <c r="F18" s="798">
        <f>'数据-取费表'!B36</f>
        <v>1.4999999999999999E-2</v>
      </c>
      <c r="G18" s="3260"/>
      <c r="H18" s="1576" t="s">
        <v>1875</v>
      </c>
      <c r="I18" s="773" t="s">
        <v>1746</v>
      </c>
      <c r="J18" s="53">
        <f ca="1">ROUND(J6*M18/(1+'数据-取费表'!C42),1)</f>
        <v>0</v>
      </c>
      <c r="K18" s="2336" t="s">
        <v>1747</v>
      </c>
      <c r="L18" s="773" t="s">
        <v>1738</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3" t="s">
        <v>656</v>
      </c>
      <c r="C19" s="53">
        <f ca="1">SUM(C14:C18)</f>
        <v>0</v>
      </c>
      <c r="D19" s="259" t="s">
        <v>1748</v>
      </c>
      <c r="E19" s="1895"/>
      <c r="F19" s="56"/>
      <c r="G19" s="1944"/>
      <c r="H19" s="1576"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6" customFormat="1" ht="18" customHeight="1">
      <c r="A20" s="1577" t="s">
        <v>1880</v>
      </c>
      <c r="B20" s="773" t="s">
        <v>660</v>
      </c>
      <c r="C20" s="53">
        <f ca="1">ROUND(C19*F20,0)</f>
        <v>0</v>
      </c>
      <c r="D20" s="800" t="s">
        <v>1750</v>
      </c>
      <c r="E20" s="773" t="s">
        <v>1738</v>
      </c>
      <c r="F20" s="798">
        <f>'数据-取费表'!B37</f>
        <v>0.02</v>
      </c>
      <c r="G20" s="3260"/>
      <c r="H20" s="1579" t="s">
        <v>1871</v>
      </c>
      <c r="I20" s="338" t="s">
        <v>1751</v>
      </c>
      <c r="J20" s="54">
        <f ca="1">ROUND(M20*M21/10000,0)</f>
        <v>0</v>
      </c>
      <c r="K20" s="802" t="s">
        <v>1752</v>
      </c>
      <c r="L20" s="773" t="s">
        <v>1753</v>
      </c>
      <c r="M20" s="631">
        <f>'数据-取费表'!B52</f>
        <v>24</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3" t="s">
        <v>1754</v>
      </c>
      <c r="C21" s="53" t="s">
        <v>1755</v>
      </c>
      <c r="D21" s="800" t="s">
        <v>2286</v>
      </c>
      <c r="E21" s="773" t="s">
        <v>1756</v>
      </c>
      <c r="F21" s="798">
        <f>'数据-取费表'!B38</f>
        <v>0.02</v>
      </c>
      <c r="G21" s="3260"/>
      <c r="H21" s="2358"/>
      <c r="I21" s="782"/>
      <c r="J21" s="69"/>
      <c r="K21" s="804"/>
      <c r="L21" s="773" t="s">
        <v>1757</v>
      </c>
      <c r="M21" s="774">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3" t="s">
        <v>1758</v>
      </c>
      <c r="C22" s="53"/>
      <c r="D22" s="2423" t="str">
        <f>IF(F23&lt;=1,"单利计息。","复利计息。")&amp;"建造成本、管理费用、销售费用产生的利息。"</f>
        <v>复利计息。建造成本、管理费用、销售费用产生的利息。</v>
      </c>
      <c r="E22" s="1895"/>
      <c r="F22" s="56"/>
      <c r="G22" s="1944"/>
      <c r="H22" s="1577" t="s">
        <v>1880</v>
      </c>
      <c r="I22" s="773" t="s">
        <v>1759</v>
      </c>
      <c r="J22" s="53">
        <f ca="1">ROUND(J14*M22,0)</f>
        <v>0</v>
      </c>
      <c r="K22" s="2336" t="s">
        <v>1760</v>
      </c>
      <c r="L22" s="773" t="s">
        <v>1738</v>
      </c>
      <c r="M22" s="805">
        <f ca="1">INDIRECT("'数据-取费表'!Ak"&amp;$G$1)</f>
        <v>0</v>
      </c>
    </row>
    <row r="23" spans="1:33" s="1946" customFormat="1" ht="18" customHeight="1">
      <c r="A23" s="1576" t="s">
        <v>1822</v>
      </c>
      <c r="B23" s="773" t="s">
        <v>2517</v>
      </c>
      <c r="C23" s="53">
        <f ca="1">ROUND(IF('数据-取费表'!B22&lt;=1,(C19+C20)*F24*F23/2,(C19+C20)*(POWER((1+F24),F23/2)-1)),0)</f>
        <v>0</v>
      </c>
      <c r="D23" s="2422" t="str">
        <f>IF(F23&lt;=1,"(建造成本+管理费用)×利率×(建设周期÷2)","(建造成本+管理费用)×((1+利率)^(建设周期÷2)-1)")</f>
        <v>(建造成本+管理费用)×((1+利率)^(建设周期÷2)-1)</v>
      </c>
      <c r="E23" s="773" t="s">
        <v>1761</v>
      </c>
      <c r="F23" s="631">
        <f>'数据-取费表'!B20</f>
        <v>1.5</v>
      </c>
      <c r="G23" s="3260"/>
      <c r="H23" s="1577" t="s">
        <v>1881</v>
      </c>
      <c r="I23" s="773" t="s">
        <v>673</v>
      </c>
      <c r="J23" s="53">
        <f ca="1">ROUND(J13*M23,0)</f>
        <v>0</v>
      </c>
      <c r="K23" s="2336" t="s">
        <v>1762</v>
      </c>
      <c r="L23" s="773" t="s">
        <v>1738</v>
      </c>
      <c r="M23" s="806">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3" t="s">
        <v>1763</v>
      </c>
      <c r="C24" s="53">
        <f ca="1">ROUND(IF('数据-取费表'!B22&lt;=1,F21*F24*F23/2,F21*(POWER((1+F24),F23/2)-1)),4)</f>
        <v>6.9999999999999999E-4</v>
      </c>
      <c r="D24" s="2422" t="str">
        <f>IF(F23&lt;=1,"销售费用×利率×(建设周期÷2)","销售费用×((1+利率)^(建设周期÷2)-1)")</f>
        <v>销售费用×((1+利率)^(建设周期÷2)-1)</v>
      </c>
      <c r="E24" s="773" t="s">
        <v>1764</v>
      </c>
      <c r="F24" s="807">
        <f ca="1">'数据-取费表'!B40</f>
        <v>4.7500000000000001E-2</v>
      </c>
      <c r="G24" s="3260"/>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3" t="s">
        <v>678</v>
      </c>
      <c r="C25" s="53"/>
      <c r="D25" s="259" t="s">
        <v>1766</v>
      </c>
      <c r="E25" s="1895"/>
      <c r="F25" s="56"/>
      <c r="G25" s="1944"/>
      <c r="H25" s="1743" t="s">
        <v>1767</v>
      </c>
      <c r="I25" s="2722" t="s">
        <v>2802</v>
      </c>
      <c r="J25" s="781">
        <f ca="1">J5-J16</f>
        <v>0</v>
      </c>
      <c r="K25" s="2400" t="s">
        <v>1768</v>
      </c>
      <c r="L25" s="2401"/>
      <c r="M25" s="2402"/>
    </row>
    <row r="26" spans="1:33" ht="18" customHeight="1">
      <c r="A26" s="1576" t="s">
        <v>1822</v>
      </c>
      <c r="B26" s="773" t="s">
        <v>2422</v>
      </c>
      <c r="C26" s="53">
        <f ca="1">ROUND((C19+C20)*F26,0)</f>
        <v>0</v>
      </c>
      <c r="D26" s="800" t="s">
        <v>1769</v>
      </c>
      <c r="E26" s="784" t="s">
        <v>1770</v>
      </c>
      <c r="F26" s="783">
        <f ca="1">INDIRECT("'数据-取费表'!q"&amp;$G$1)</f>
        <v>0</v>
      </c>
      <c r="G26" s="1944"/>
      <c r="H26" s="2354" t="s">
        <v>1771</v>
      </c>
      <c r="I26" s="2111" t="s">
        <v>2807</v>
      </c>
      <c r="J26" s="772">
        <f ca="1">IF(J5&lt;&gt;0,ROUND(J25*(1-((1+M28)/(1+M26))^M27)/(M26-M28),0),0)</f>
        <v>0</v>
      </c>
      <c r="K26" s="802" t="s">
        <v>1772</v>
      </c>
      <c r="L26" s="773" t="s">
        <v>2404</v>
      </c>
      <c r="M26" s="783">
        <f ca="1">INDIRECT("'数据-取费表'!I"&amp;$G$1)</f>
        <v>0</v>
      </c>
    </row>
    <row r="27" spans="1:33" ht="18" customHeight="1">
      <c r="A27" s="1576" t="s">
        <v>1823</v>
      </c>
      <c r="B27" s="773" t="s">
        <v>680</v>
      </c>
      <c r="C27" s="53">
        <f ca="1">ROUND(F21*F26,4)</f>
        <v>0</v>
      </c>
      <c r="D27" s="800" t="s">
        <v>1773</v>
      </c>
      <c r="E27" s="795"/>
      <c r="F27" s="796"/>
      <c r="G27" s="1944"/>
      <c r="H27" s="2355"/>
      <c r="I27" s="776"/>
      <c r="J27" s="777"/>
      <c r="K27" s="809" t="s">
        <v>1774</v>
      </c>
      <c r="L27" s="773" t="s">
        <v>1775</v>
      </c>
      <c r="M27" s="810">
        <f ca="1">INDIRECT("'数据-取费表'!ag"&amp;$G$1)</f>
        <v>0</v>
      </c>
    </row>
    <row r="28" spans="1:33" s="1946" customFormat="1" ht="18" customHeight="1">
      <c r="A28" s="1578" t="s">
        <v>1832</v>
      </c>
      <c r="B28" s="773" t="s">
        <v>681</v>
      </c>
      <c r="C28" s="53">
        <f>ROUND(F28/(1+'数据-取费表'!C42),4)</f>
        <v>5.33E-2</v>
      </c>
      <c r="D28" s="800" t="s">
        <v>2287</v>
      </c>
      <c r="E28" s="773" t="s">
        <v>1776</v>
      </c>
      <c r="F28" s="798">
        <f>'数据-取费表'!B41</f>
        <v>5.6000000000000001E-2</v>
      </c>
      <c r="G28" s="3260"/>
      <c r="H28" s="1743"/>
      <c r="I28" s="780"/>
      <c r="J28" s="781"/>
      <c r="K28" s="804"/>
      <c r="L28" s="773" t="s">
        <v>1777</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60"/>
      <c r="H29" s="811" t="s">
        <v>1778</v>
      </c>
      <c r="I29" s="812" t="s">
        <v>1779</v>
      </c>
      <c r="J29" s="813">
        <f ca="1">ROUND(J26/(1+F40)^F41,0)</f>
        <v>0</v>
      </c>
      <c r="K29" s="814" t="s">
        <v>1780</v>
      </c>
      <c r="L29" s="815"/>
      <c r="M29" s="816">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1">
        <f ca="1">ROUND(C31+C36+C37+C38,0)</f>
        <v>0</v>
      </c>
      <c r="D30" s="1735" t="s">
        <v>1782</v>
      </c>
      <c r="E30" s="2338"/>
      <c r="F30" s="2343"/>
      <c r="G30" s="1944"/>
      <c r="H30" s="1947"/>
      <c r="I30" s="1948"/>
      <c r="J30" s="1949"/>
      <c r="K30" s="1950"/>
      <c r="L30" s="1951"/>
      <c r="M30" s="1952"/>
    </row>
    <row r="31" spans="1:33" ht="18" customHeight="1">
      <c r="A31" s="1577" t="s">
        <v>1821</v>
      </c>
      <c r="B31" s="773" t="s">
        <v>650</v>
      </c>
      <c r="C31" s="3018">
        <f ca="1">ROUND(IF(AND(项目基本情况!B11="自然人",项目基本情况!B10="北京市"),C6*F31/(1+'数据-取费表'!C42),C32+C33+C34),0)</f>
        <v>0</v>
      </c>
      <c r="D31" s="1892" t="s">
        <v>1783</v>
      </c>
      <c r="E31" s="1890" t="s">
        <v>1784</v>
      </c>
      <c r="F31" s="3017" t="str">
        <f>IF(项目基本情况!B11="企业","——",IF('数据-取费表'!B10="住宅",IF(F6*F7*F8/12/(1+'数据-取费表'!F30)&gt;100000,4%,2.5%),IF(F6*F7*F8/12/(1+'数据-取费表'!F30)&gt;100000,12%,7%)))</f>
        <v>——</v>
      </c>
      <c r="G31" s="1944"/>
      <c r="H31" s="3257" t="s">
        <v>2994</v>
      </c>
      <c r="I31" s="1948"/>
      <c r="J31" s="1949"/>
      <c r="K31" s="1950"/>
      <c r="L31" s="1951"/>
      <c r="M31" s="1952"/>
    </row>
    <row r="32" spans="1:33" ht="18" customHeight="1">
      <c r="A32" s="1576" t="s">
        <v>1822</v>
      </c>
      <c r="B32" s="773" t="s">
        <v>1785</v>
      </c>
      <c r="C32" s="53">
        <f ca="1">ROUND(C6*F32/(1+'数据-取费表'!C42),1)</f>
        <v>0</v>
      </c>
      <c r="D32" s="1890" t="s">
        <v>1786</v>
      </c>
      <c r="E32" s="773" t="s">
        <v>1787</v>
      </c>
      <c r="F32" s="798">
        <f>'数据-取费表'!B41</f>
        <v>5.6000000000000001E-2</v>
      </c>
      <c r="G32" s="1944"/>
      <c r="H32" s="1953"/>
      <c r="I32" s="1954"/>
      <c r="J32" s="1955"/>
      <c r="K32" s="1956"/>
      <c r="L32" s="1957"/>
      <c r="M32" s="1958"/>
    </row>
    <row r="33" spans="1:18" ht="18" customHeight="1">
      <c r="A33" s="1576"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4"/>
      <c r="H33" s="1959"/>
      <c r="I33" s="1959"/>
      <c r="J33" s="1959"/>
      <c r="K33" s="1960"/>
      <c r="L33" s="1959"/>
      <c r="M33" s="1959"/>
    </row>
    <row r="34" spans="1:18" ht="18" customHeight="1">
      <c r="A34" s="1579" t="s">
        <v>1824</v>
      </c>
      <c r="B34" s="338" t="s">
        <v>1789</v>
      </c>
      <c r="C34" s="54">
        <f ca="1">ROUND(F34*F35/10000,1)</f>
        <v>0</v>
      </c>
      <c r="D34" s="802" t="s">
        <v>1790</v>
      </c>
      <c r="E34" s="773" t="s">
        <v>1791</v>
      </c>
      <c r="F34" s="631">
        <f>'数据-取费表'!B52</f>
        <v>24</v>
      </c>
      <c r="G34" s="1944"/>
      <c r="H34" s="1947"/>
      <c r="I34" s="823" t="s">
        <v>1804</v>
      </c>
      <c r="J34" s="824"/>
      <c r="K34" s="1962"/>
      <c r="L34" s="1961"/>
      <c r="M34" s="1961"/>
    </row>
    <row r="35" spans="1:18" ht="18" customHeight="1">
      <c r="A35" s="803"/>
      <c r="B35" s="782"/>
      <c r="C35" s="69"/>
      <c r="D35" s="804"/>
      <c r="E35" s="773" t="s">
        <v>1792</v>
      </c>
      <c r="F35" s="774">
        <f ca="1">INDIRECT("'数据-取费表'!r"&amp;$G$1)</f>
        <v>0</v>
      </c>
      <c r="G35" s="1944"/>
      <c r="H35" s="1947"/>
      <c r="I35" s="825" t="s">
        <v>1805</v>
      </c>
      <c r="J35" s="826">
        <f ca="1">ROUND(C13*J36,0)</f>
        <v>0</v>
      </c>
      <c r="K35" s="1960"/>
      <c r="L35" s="1959"/>
      <c r="M35" s="1959"/>
    </row>
    <row r="36" spans="1:18" ht="18" customHeight="1">
      <c r="A36" s="1577" t="s">
        <v>1880</v>
      </c>
      <c r="B36" s="773" t="s">
        <v>1793</v>
      </c>
      <c r="C36" s="53">
        <f ca="1">ROUND(C29*F36,1)</f>
        <v>0</v>
      </c>
      <c r="D36" s="1890" t="s">
        <v>1794</v>
      </c>
      <c r="E36" s="773" t="s">
        <v>1787</v>
      </c>
      <c r="F36" s="805">
        <f ca="1">INDIRECT("'数据-取费表'!Ak"&amp;$G$1)</f>
        <v>0</v>
      </c>
      <c r="G36" s="1944"/>
      <c r="H36" s="1959"/>
      <c r="I36" s="827" t="s">
        <v>1806</v>
      </c>
      <c r="J36" s="828">
        <f ca="1">INDIRECT("'数据-取费表'!j"&amp;$G$1)</f>
        <v>0</v>
      </c>
      <c r="K36" s="1963"/>
      <c r="L36" s="1959"/>
      <c r="M36" s="1959"/>
    </row>
    <row r="37" spans="1:18" ht="18" customHeight="1">
      <c r="A37" s="1577" t="s">
        <v>1881</v>
      </c>
      <c r="B37" s="773" t="s">
        <v>673</v>
      </c>
      <c r="C37" s="53">
        <f ca="1">ROUND(C13*F37,1)</f>
        <v>0</v>
      </c>
      <c r="D37" s="1890" t="s">
        <v>1795</v>
      </c>
      <c r="E37" s="773" t="s">
        <v>1787</v>
      </c>
      <c r="F37" s="806">
        <f ca="1">INDIRECT("'数据-取费表'!Al"&amp;$G$1)</f>
        <v>0</v>
      </c>
      <c r="G37" s="1944"/>
      <c r="H37" s="1959"/>
      <c r="I37" s="829" t="s">
        <v>1807</v>
      </c>
      <c r="J37" s="830"/>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1" t="s">
        <v>1808</v>
      </c>
      <c r="J38" s="832"/>
      <c r="K38" s="1964"/>
      <c r="L38" s="1959"/>
      <c r="M38" s="1959"/>
    </row>
    <row r="39" spans="1:18" ht="24.6" customHeight="1" thickTop="1">
      <c r="A39" s="1743" t="s">
        <v>1885</v>
      </c>
      <c r="B39" s="2722" t="s">
        <v>2802</v>
      </c>
      <c r="C39" s="781">
        <f ca="1">C5-C30</f>
        <v>0</v>
      </c>
      <c r="D39" s="2400" t="s">
        <v>1797</v>
      </c>
      <c r="E39" s="2401"/>
      <c r="F39" s="2402"/>
      <c r="G39" s="1944"/>
      <c r="H39" s="1959"/>
      <c r="I39" s="825" t="s">
        <v>1809</v>
      </c>
      <c r="J39" s="833" t="e">
        <f ca="1">ROUND(J35/C39,3)</f>
        <v>#DIV/0!</v>
      </c>
      <c r="K39" s="1964"/>
      <c r="L39" s="1959"/>
      <c r="M39" s="1959"/>
    </row>
    <row r="40" spans="1:18" ht="18" customHeight="1">
      <c r="A40" s="770" t="s">
        <v>1886</v>
      </c>
      <c r="B40" s="2111" t="s">
        <v>2289</v>
      </c>
      <c r="C40" s="772" t="e">
        <f ca="1">ROUND(C39*(1-((1+F42)/(1+F40))^F41)/(F40-F42),0)</f>
        <v>#DIV/0!</v>
      </c>
      <c r="D40" s="802" t="s">
        <v>1798</v>
      </c>
      <c r="E40" s="773" t="s">
        <v>2404</v>
      </c>
      <c r="F40" s="783">
        <f ca="1">INDIRECT("'数据-取费表'!I"&amp;$G$1)</f>
        <v>0</v>
      </c>
      <c r="G40" s="1944"/>
      <c r="H40" s="1944"/>
      <c r="I40" s="825" t="s">
        <v>1810</v>
      </c>
      <c r="J40" s="833" t="e">
        <f ca="1">1-J39</f>
        <v>#DIV/0!</v>
      </c>
      <c r="K40" s="1964"/>
      <c r="L40" s="1944"/>
      <c r="M40" s="1944"/>
    </row>
    <row r="41" spans="1:18" ht="18" customHeight="1">
      <c r="A41" s="775"/>
      <c r="B41" s="776"/>
      <c r="C41" s="777"/>
      <c r="D41" s="809" t="s">
        <v>1799</v>
      </c>
      <c r="E41" s="773" t="s">
        <v>2930</v>
      </c>
      <c r="F41" s="810">
        <f ca="1">IF(INDIRECT("'数据-取费表'!af"&amp;$G$1)=0,INDIRECT("'数据-取费表'!ae"&amp;$G$1),INDIRECT("'数据-取费表'!af"&amp;$G$1))</f>
        <v>0</v>
      </c>
      <c r="G41" s="1944"/>
      <c r="H41" s="1899"/>
      <c r="I41" s="831" t="s">
        <v>1811</v>
      </c>
      <c r="J41" s="834"/>
      <c r="K41" s="1963"/>
      <c r="L41" s="1899"/>
      <c r="M41" s="1899"/>
    </row>
    <row r="42" spans="1:18" ht="18" customHeight="1">
      <c r="A42" s="779"/>
      <c r="B42" s="780"/>
      <c r="C42" s="781"/>
      <c r="D42" s="804"/>
      <c r="E42" s="773" t="s">
        <v>1800</v>
      </c>
      <c r="F42" s="783">
        <f ca="1">INDIRECT("'数据-取费表'!v"&amp;$G$1)</f>
        <v>0</v>
      </c>
      <c r="G42" s="1944"/>
      <c r="H42" s="1899"/>
      <c r="I42" s="835" t="s">
        <v>1812</v>
      </c>
      <c r="J42" s="833" t="e">
        <f ca="1">ROUND(C13/C40,3)</f>
        <v>#DIV/0!</v>
      </c>
      <c r="K42" s="1963"/>
      <c r="L42" s="1899"/>
      <c r="M42" s="1899"/>
    </row>
    <row r="43" spans="1:18" ht="18" customHeight="1" thickBot="1">
      <c r="A43" s="811" t="s">
        <v>1778</v>
      </c>
      <c r="B43" s="812" t="s">
        <v>1801</v>
      </c>
      <c r="C43" s="813" t="e">
        <f ca="1">ROUND(C40*10000/F43,0)</f>
        <v>#DIV/0!</v>
      </c>
      <c r="D43" s="814" t="s">
        <v>1802</v>
      </c>
      <c r="E43" s="815" t="s">
        <v>1803</v>
      </c>
      <c r="F43" s="816">
        <f ca="1">INDIRECT("'数据-取费表'!k"&amp;$G$1)</f>
        <v>0</v>
      </c>
      <c r="G43" s="1944"/>
      <c r="H43" s="1899"/>
      <c r="I43" s="835" t="s">
        <v>1813</v>
      </c>
      <c r="J43" s="836"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61"/>
      <c r="E46" s="3261"/>
      <c r="F46" s="3261"/>
      <c r="I46" s="2232" t="s">
        <v>2328</v>
      </c>
      <c r="J46" s="2233"/>
      <c r="K46" s="2234"/>
      <c r="L46" s="2810" t="e">
        <f ca="1">IF(OR(M47="住宅",D1="土地（套用方法）"),0,IF(L48&gt;J51,L60,J60))</f>
        <v>#DIV/0!</v>
      </c>
      <c r="M46" s="3262"/>
      <c r="O46" s="2248" t="s">
        <v>2395</v>
      </c>
      <c r="P46" s="1526"/>
      <c r="Q46" s="1534"/>
      <c r="R46" s="1526"/>
    </row>
    <row r="47" spans="1:18" s="1941" customFormat="1" ht="18" customHeight="1" thickBot="1">
      <c r="A47" s="2226">
        <v>1</v>
      </c>
      <c r="B47" s="2227" t="s">
        <v>629</v>
      </c>
      <c r="C47" s="2425">
        <f ca="1">C48+C52+C54</f>
        <v>0</v>
      </c>
      <c r="D47" s="3261"/>
      <c r="E47" s="3261"/>
      <c r="F47" s="3261"/>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2"/>
      <c r="O48" s="2252" t="s">
        <v>2364</v>
      </c>
      <c r="P48" s="2253" t="s">
        <v>2390</v>
      </c>
      <c r="Q48" s="2254" t="e">
        <f ca="1">C40+J29</f>
        <v>#DIV/0!</v>
      </c>
      <c r="R48" s="2253" t="s">
        <v>2365</v>
      </c>
    </row>
    <row r="49" spans="1:18" s="1941" customFormat="1" ht="18" customHeight="1" thickBot="1">
      <c r="A49" s="775"/>
      <c r="B49" s="776"/>
      <c r="C49" s="777"/>
      <c r="D49" s="778"/>
      <c r="E49" s="773" t="s">
        <v>1730</v>
      </c>
      <c r="F49" s="774">
        <f ca="1">F7</f>
        <v>0</v>
      </c>
      <c r="G49" s="1971"/>
      <c r="H49" s="1974"/>
      <c r="I49" s="2798" t="s">
        <v>2331</v>
      </c>
      <c r="J49" s="2237"/>
      <c r="K49" s="2809" t="s">
        <v>2337</v>
      </c>
      <c r="L49" s="2238"/>
      <c r="M49" s="3262"/>
      <c r="O49" s="2252" t="s">
        <v>2366</v>
      </c>
      <c r="P49" s="2253" t="s">
        <v>2391</v>
      </c>
      <c r="Q49" s="2254" t="e">
        <f ca="1">J60</f>
        <v>#DIV/0!</v>
      </c>
      <c r="R49" s="2253" t="s">
        <v>2367</v>
      </c>
    </row>
    <row r="50" spans="1:18" s="1941" customFormat="1" ht="18" customHeight="1" thickBot="1">
      <c r="A50" s="775"/>
      <c r="B50" s="776"/>
      <c r="C50" s="777"/>
      <c r="D50" s="778"/>
      <c r="E50" s="773" t="s">
        <v>1731</v>
      </c>
      <c r="F50" s="774">
        <f ca="1">F8</f>
        <v>0</v>
      </c>
      <c r="G50" s="1976"/>
      <c r="H50" s="1974"/>
      <c r="I50" s="2798" t="s">
        <v>2332</v>
      </c>
      <c r="J50" s="2805">
        <f>SUMPRODUCT((I63:I65=J47)*(J62:L62=J48)*(J63:L65))</f>
        <v>0</v>
      </c>
      <c r="K50" s="2809" t="s">
        <v>2338</v>
      </c>
      <c r="L50" s="2238"/>
      <c r="M50" s="3262"/>
      <c r="O50" s="2255" t="s">
        <v>2368</v>
      </c>
      <c r="P50" s="2253" t="s">
        <v>2392</v>
      </c>
      <c r="Q50" s="2254">
        <f ca="1">C29</f>
        <v>0</v>
      </c>
      <c r="R50" s="2253" t="s">
        <v>2365</v>
      </c>
    </row>
    <row r="51" spans="1:18" s="1941" customFormat="1" ht="18" customHeight="1" thickBot="1">
      <c r="A51" s="775"/>
      <c r="B51" s="776"/>
      <c r="C51" s="777"/>
      <c r="D51" s="778"/>
      <c r="E51" s="773" t="s">
        <v>634</v>
      </c>
      <c r="F51" s="2225"/>
      <c r="H51" s="1974"/>
      <c r="I51" s="2802" t="s">
        <v>2333</v>
      </c>
      <c r="J51" s="2806">
        <f>IF(J49="",J50,J49+J50-YEAR('数据-取费表'!B2))</f>
        <v>0</v>
      </c>
      <c r="K51" s="2798" t="s">
        <v>2339</v>
      </c>
      <c r="L51" s="2812">
        <f ca="1">ROUND(-PV(INDIRECT("'数据-取费表'!h"&amp;$G$1),J51,(C39-C13*J36),0),0)</f>
        <v>0</v>
      </c>
      <c r="M51" s="3262"/>
      <c r="O51" s="2255" t="s">
        <v>2369</v>
      </c>
      <c r="P51" s="2253" t="s">
        <v>2370</v>
      </c>
      <c r="Q51" s="2256" t="e">
        <f ca="1">J58</f>
        <v>#DIV/0!</v>
      </c>
      <c r="R51" s="2257"/>
    </row>
    <row r="52" spans="1:18" s="1941" customFormat="1" ht="18" customHeight="1" thickBot="1">
      <c r="A52" s="770" t="s">
        <v>2518</v>
      </c>
      <c r="B52" s="2346" t="s">
        <v>2441</v>
      </c>
      <c r="C52" s="788">
        <f ca="1">ROUND(IF(F52="押一",C48/12*F11,IF(F52="押二",C48/12*2*F11,IF(F52="押三",C48/12*3*F11,C53*F11))),0)</f>
        <v>0</v>
      </c>
      <c r="D52" s="2353" t="s">
        <v>2940</v>
      </c>
      <c r="E52" s="2350" t="s">
        <v>2446</v>
      </c>
      <c r="F52" s="2464"/>
      <c r="I52" s="2803" t="s">
        <v>2406</v>
      </c>
      <c r="J52" s="2239"/>
      <c r="K52" s="2803" t="s">
        <v>2405</v>
      </c>
      <c r="L52" s="2239"/>
      <c r="M52" s="3262"/>
      <c r="O52" s="2255" t="s">
        <v>2371</v>
      </c>
      <c r="P52" s="2253" t="s">
        <v>2372</v>
      </c>
      <c r="Q52" s="2256">
        <f>J52</f>
        <v>0</v>
      </c>
      <c r="R52" s="2257"/>
    </row>
    <row r="53" spans="1:18" s="1941" customFormat="1" ht="39.75" customHeight="1" thickBot="1">
      <c r="A53" s="775"/>
      <c r="B53" s="2347" t="s">
        <v>2555</v>
      </c>
      <c r="C53" s="2351"/>
      <c r="D53" s="2353"/>
      <c r="E53" s="2350"/>
      <c r="F53" s="789"/>
      <c r="I53" s="2804" t="s">
        <v>2943</v>
      </c>
      <c r="J53" s="2857">
        <f ca="1">IF(M47="住宅",IF(D1="——",MAX(J51,L48),MAX(J51,L48-'数据-取费表'!B20)),IF(D1="——",MIN(J51,L48),MIN(J51,L48-'数据-取费表'!B20)))</f>
        <v>0</v>
      </c>
      <c r="K53" s="3552" t="s">
        <v>2932</v>
      </c>
      <c r="L53" s="3553"/>
      <c r="M53" s="3262"/>
      <c r="O53" s="2255" t="s">
        <v>2373</v>
      </c>
      <c r="P53" s="2253" t="s">
        <v>2374</v>
      </c>
      <c r="Q53" s="2254">
        <f ca="1">J53</f>
        <v>0</v>
      </c>
      <c r="R53" s="2253" t="s">
        <v>2375</v>
      </c>
    </row>
    <row r="54" spans="1:18" s="1941" customFormat="1" ht="18" customHeight="1" thickBot="1">
      <c r="A54" s="2389" t="s">
        <v>2449</v>
      </c>
      <c r="B54" s="2390" t="s">
        <v>2442</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2"/>
      <c r="O54" s="2252" t="s">
        <v>2376</v>
      </c>
      <c r="P54" s="2253" t="s">
        <v>2393</v>
      </c>
      <c r="Q54" s="2254" t="e">
        <f ca="1">Q48+Q49</f>
        <v>#DIV/0!</v>
      </c>
      <c r="R54" s="2257" t="s">
        <v>2377</v>
      </c>
    </row>
    <row r="55" spans="1:18" s="1941" customFormat="1" ht="18" customHeight="1" thickTop="1" thickBot="1">
      <c r="A55" s="786">
        <v>2</v>
      </c>
      <c r="B55" s="787" t="s">
        <v>638</v>
      </c>
      <c r="C55" s="788">
        <f ca="1">C13</f>
        <v>0</v>
      </c>
      <c r="D55" s="784"/>
      <c r="E55" s="784"/>
      <c r="F55" s="789"/>
      <c r="I55" s="2815" t="s">
        <v>2340</v>
      </c>
      <c r="J55" s="2787" t="e">
        <f ca="1">ROUND(IF(J47="钢混",J57/J50,1-(1-2%)*(J50-J57)/J50),3)</f>
        <v>#DIV/0!</v>
      </c>
      <c r="K55" s="2816" t="s">
        <v>2341</v>
      </c>
      <c r="L55" s="2240"/>
      <c r="M55" s="3262"/>
      <c r="O55" s="2258" t="s">
        <v>2396</v>
      </c>
      <c r="P55" s="1526"/>
      <c r="Q55" s="1534"/>
      <c r="R55" s="1526"/>
    </row>
    <row r="56" spans="1:18" s="1941" customFormat="1" ht="42.75" customHeight="1" thickBot="1">
      <c r="A56" s="1578"/>
      <c r="B56" s="2110" t="s">
        <v>2290</v>
      </c>
      <c r="C56" s="53">
        <f ca="1">C29</f>
        <v>0</v>
      </c>
      <c r="D56" s="2480"/>
      <c r="E56" s="773"/>
      <c r="F56" s="798"/>
      <c r="I56" s="2817" t="s">
        <v>2342</v>
      </c>
      <c r="J56" s="2827"/>
      <c r="K56" s="2798" t="s">
        <v>2347</v>
      </c>
      <c r="L56" s="1821">
        <f ca="1">IF(L48&lt;J51,"——",L48-J51)</f>
        <v>0</v>
      </c>
      <c r="M56" s="3262"/>
      <c r="O56" s="2249" t="s">
        <v>2360</v>
      </c>
      <c r="P56" s="2250" t="s">
        <v>2361</v>
      </c>
      <c r="Q56" s="2251" t="s">
        <v>2362</v>
      </c>
      <c r="R56" s="2250" t="s">
        <v>2363</v>
      </c>
    </row>
    <row r="57" spans="1:18" s="1941" customFormat="1" ht="28.5" customHeight="1" thickBot="1">
      <c r="A57" s="786" t="s">
        <v>1739</v>
      </c>
      <c r="B57" s="787" t="s">
        <v>645</v>
      </c>
      <c r="C57" s="788">
        <f ca="1">ROUND(C58+C63+C64+C65,0)</f>
        <v>0</v>
      </c>
      <c r="D57" s="26" t="s">
        <v>1741</v>
      </c>
      <c r="E57" s="2481"/>
      <c r="F57" s="56"/>
      <c r="I57" s="2818" t="s">
        <v>2343</v>
      </c>
      <c r="J57" s="2819">
        <f ca="1">IF(OR(M47="住宅",J51&lt;L48,J56="是"),"——",J51-L48)</f>
        <v>0</v>
      </c>
      <c r="K57" s="2798" t="s">
        <v>2348</v>
      </c>
      <c r="L57" s="1821">
        <f ca="1">IF(L48&lt;J51,"——",IF(L55="比较法",L49,IF(L55="基准地价",L50,L51)))</f>
        <v>0</v>
      </c>
      <c r="M57" s="3262"/>
      <c r="O57" s="2252" t="s">
        <v>2364</v>
      </c>
      <c r="P57" s="2253" t="s">
        <v>2394</v>
      </c>
      <c r="Q57" s="2254" t="e">
        <f ca="1">C40+J29</f>
        <v>#DIV/0!</v>
      </c>
      <c r="R57" s="2253" t="s">
        <v>2365</v>
      </c>
    </row>
    <row r="58" spans="1:18" s="1941" customFormat="1" ht="28.5" customHeight="1" thickBot="1">
      <c r="A58" s="1577" t="s">
        <v>1815</v>
      </c>
      <c r="B58" s="773" t="s">
        <v>650</v>
      </c>
      <c r="C58" s="3018">
        <f ca="1">ROUND(IF(AND(项目基本情况!B11="自然人",项目基本情况!B10="北京市"),C48*F58/(1+'数据-取费表'!C42),C59+C60+C61),0)</f>
        <v>0</v>
      </c>
      <c r="D58" s="2479" t="s">
        <v>651</v>
      </c>
      <c r="E58" s="2480"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1" t="e">
        <f ca="1">ROUND(POWER(1+L52,L47-L48)*(POWER(1+L52,L48)-1)/(POWER(1+L52,L47)-1),4)</f>
        <v>#DIV/0!</v>
      </c>
      <c r="M58" s="3262"/>
      <c r="O58" s="2252" t="s">
        <v>2366</v>
      </c>
      <c r="P58" s="2253" t="s">
        <v>2397</v>
      </c>
      <c r="Q58" s="2254" t="e">
        <f ca="1">L60</f>
        <v>#DIV/0!</v>
      </c>
      <c r="R58" s="2257" t="s">
        <v>2399</v>
      </c>
    </row>
    <row r="59" spans="1:18" s="1941" customFormat="1" ht="28.5" customHeight="1" thickBot="1">
      <c r="A59" s="1576" t="s">
        <v>1822</v>
      </c>
      <c r="B59" s="773" t="s">
        <v>654</v>
      </c>
      <c r="C59" s="53">
        <f ca="1">ROUND(C47*F59/1.05,1)</f>
        <v>0</v>
      </c>
      <c r="D59" s="2480" t="s">
        <v>1747</v>
      </c>
      <c r="E59" s="773" t="s">
        <v>1738</v>
      </c>
      <c r="F59" s="798">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2"/>
      <c r="O59" s="2255" t="s">
        <v>2368</v>
      </c>
      <c r="P59" s="2253" t="s">
        <v>2398</v>
      </c>
      <c r="Q59" s="2254">
        <f>IF(L55="比较法",L49,IF(L55="基准地价",L50,0))</f>
        <v>0</v>
      </c>
      <c r="R59" s="2253" t="s">
        <v>2365</v>
      </c>
    </row>
    <row r="60" spans="1:18" s="1941" customFormat="1" ht="18" customHeight="1" thickBot="1">
      <c r="A60" s="1576" t="s">
        <v>1823</v>
      </c>
      <c r="B60" s="773" t="s">
        <v>1749</v>
      </c>
      <c r="C60" s="53">
        <f ca="1">IF(D60="按租金收入计税",ROUND(C48*F60/(1+'数据-取费表'!C42),1),IF(D60="按房产原值计税",ROUND(C56*F60*0.7,1),INDIRECT("'数据-取费表'!Aj"&amp;$G$1)))</f>
        <v>0</v>
      </c>
      <c r="D60" s="2480" t="str">
        <f>D33</f>
        <v>按房产原值计税</v>
      </c>
      <c r="E60" s="773" t="s">
        <v>1738</v>
      </c>
      <c r="F60" s="798">
        <f t="shared" si="0"/>
        <v>1.2E-2</v>
      </c>
      <c r="I60" s="2820" t="s">
        <v>2346</v>
      </c>
      <c r="J60" s="2821" t="e">
        <f ca="1">IF(OR(M47="住宅",J51&lt;L48,J56="是"),"0",ROUND(J59/(1+J52)^J53,0))</f>
        <v>#DIV/0!</v>
      </c>
      <c r="K60" s="2822" t="s">
        <v>2351</v>
      </c>
      <c r="L60" s="2821" t="e">
        <f ca="1">IF(OR(M47="住宅",L48&lt;J51),0,ROUND(L57*(L58/L59-1),0))</f>
        <v>#DIV/0!</v>
      </c>
      <c r="M60" s="3262"/>
      <c r="O60" s="2255" t="s">
        <v>2369</v>
      </c>
      <c r="P60" s="2253" t="s">
        <v>2378</v>
      </c>
      <c r="Q60" s="2256">
        <f>L52</f>
        <v>0</v>
      </c>
      <c r="R60" s="2257"/>
    </row>
    <row r="61" spans="1:18" s="1941" customFormat="1" ht="18" customHeight="1" thickBot="1">
      <c r="A61" s="1579" t="s">
        <v>1824</v>
      </c>
      <c r="B61" s="338" t="s">
        <v>662</v>
      </c>
      <c r="C61" s="54">
        <f ca="1">ROUND(F61*F62/10000,1)</f>
        <v>0</v>
      </c>
      <c r="D61" s="802" t="s">
        <v>663</v>
      </c>
      <c r="E61" s="773" t="s">
        <v>664</v>
      </c>
      <c r="F61" s="631">
        <f t="shared" si="0"/>
        <v>24</v>
      </c>
      <c r="K61" s="1967"/>
      <c r="O61" s="2255" t="s">
        <v>2371</v>
      </c>
      <c r="P61" s="2253" t="s">
        <v>2379</v>
      </c>
      <c r="Q61" s="2254" t="e">
        <f ca="1">L58</f>
        <v>#DIV/0!</v>
      </c>
      <c r="R61" s="2257" t="s">
        <v>2380</v>
      </c>
    </row>
    <row r="62" spans="1:18" s="1941" customFormat="1" ht="15.75" thickBot="1">
      <c r="A62" s="803"/>
      <c r="B62" s="782"/>
      <c r="C62" s="69"/>
      <c r="D62" s="804"/>
      <c r="E62" s="773" t="s">
        <v>668</v>
      </c>
      <c r="F62" s="774">
        <f t="shared" ca="1" si="0"/>
        <v>0</v>
      </c>
      <c r="I62" s="2823" t="s">
        <v>2352</v>
      </c>
      <c r="J62" s="2824" t="s">
        <v>2353</v>
      </c>
      <c r="K62" s="2824" t="s">
        <v>2354</v>
      </c>
      <c r="L62" s="2824" t="s">
        <v>2335</v>
      </c>
      <c r="M62" s="2825" t="s">
        <v>2911</v>
      </c>
      <c r="O62" s="2255" t="s">
        <v>2373</v>
      </c>
      <c r="P62" s="2253" t="str">
        <f>K59</f>
        <v>建筑物剩余耐用年限下的土地年期修正系数Kn</v>
      </c>
      <c r="Q62" s="2254" t="e">
        <f ca="1">L59</f>
        <v>#DIV/0!</v>
      </c>
      <c r="R62" s="2257" t="s">
        <v>2382</v>
      </c>
    </row>
    <row r="63" spans="1:18" s="1941" customFormat="1" ht="15.75" thickBot="1">
      <c r="A63" s="1577" t="s">
        <v>1880</v>
      </c>
      <c r="B63" s="773" t="s">
        <v>670</v>
      </c>
      <c r="C63" s="53">
        <f ca="1">ROUND(C56*F63,1)</f>
        <v>0</v>
      </c>
      <c r="D63" s="2480" t="s">
        <v>1794</v>
      </c>
      <c r="E63" s="773" t="s">
        <v>1738</v>
      </c>
      <c r="F63" s="805">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3" t="s">
        <v>673</v>
      </c>
      <c r="C64" s="53">
        <f ca="1">ROUND(C55*F64,1)</f>
        <v>0</v>
      </c>
      <c r="D64" s="2480" t="s">
        <v>674</v>
      </c>
      <c r="E64" s="773" t="s">
        <v>1738</v>
      </c>
      <c r="F64" s="806">
        <f t="shared" ca="1" si="0"/>
        <v>0</v>
      </c>
      <c r="I64" s="2823" t="s">
        <v>2356</v>
      </c>
      <c r="J64" s="2824">
        <v>50</v>
      </c>
      <c r="K64" s="2824">
        <v>35</v>
      </c>
      <c r="L64" s="2824">
        <v>60</v>
      </c>
      <c r="M64" s="834">
        <v>0</v>
      </c>
      <c r="O64" s="2258" t="s">
        <v>2400</v>
      </c>
      <c r="P64" s="1526"/>
      <c r="Q64" s="1534"/>
      <c r="R64" s="1526"/>
    </row>
    <row r="65" spans="1:18" s="1941" customFormat="1" ht="15.75" thickBot="1">
      <c r="A65" s="1577" t="s">
        <v>1882</v>
      </c>
      <c r="B65" s="773" t="s">
        <v>660</v>
      </c>
      <c r="C65" s="53">
        <f ca="1">ROUND(C47*F65,1)</f>
        <v>0</v>
      </c>
      <c r="D65" s="2480" t="s">
        <v>677</v>
      </c>
      <c r="E65" s="773" t="s">
        <v>1738</v>
      </c>
      <c r="F65" s="783">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6" t="s">
        <v>1767</v>
      </c>
      <c r="B66" s="2723" t="s">
        <v>2802</v>
      </c>
      <c r="C66" s="788">
        <f ca="1">C47-C57</f>
        <v>0</v>
      </c>
      <c r="D66" s="2479" t="s">
        <v>694</v>
      </c>
      <c r="E66" s="2478"/>
      <c r="F66" s="808"/>
      <c r="K66" s="1967"/>
      <c r="O66" s="2252" t="s">
        <v>2364</v>
      </c>
      <c r="P66" s="2253" t="s">
        <v>2394</v>
      </c>
      <c r="Q66" s="2254" t="e">
        <f ca="1">C40+J29</f>
        <v>#DIV/0!</v>
      </c>
      <c r="R66" s="2253" t="s">
        <v>2365</v>
      </c>
    </row>
    <row r="67" spans="1:18" s="1941" customFormat="1" ht="20.25" thickBot="1">
      <c r="A67" s="770" t="s">
        <v>1771</v>
      </c>
      <c r="B67" s="2111" t="s">
        <v>2289</v>
      </c>
      <c r="C67" s="772" t="e">
        <f ca="1">ROUND(C66*(1-((1+F69)/(1+F67))^F68)/(F67-F69),0)</f>
        <v>#DIV/0!</v>
      </c>
      <c r="D67" s="802" t="s">
        <v>698</v>
      </c>
      <c r="E67" s="773" t="s">
        <v>699</v>
      </c>
      <c r="F67" s="783">
        <f ca="1">F40</f>
        <v>0</v>
      </c>
      <c r="K67" s="1967"/>
      <c r="O67" s="2252" t="s">
        <v>2366</v>
      </c>
      <c r="P67" s="2253" t="s">
        <v>2397</v>
      </c>
      <c r="Q67" s="2254" t="e">
        <f ca="1">L60</f>
        <v>#DIV/0!</v>
      </c>
      <c r="R67" s="2257" t="s">
        <v>2399</v>
      </c>
    </row>
    <row r="68" spans="1:18" ht="21.75" thickBot="1">
      <c r="A68" s="775"/>
      <c r="B68" s="776"/>
      <c r="C68" s="777"/>
      <c r="D68" s="809" t="s">
        <v>1799</v>
      </c>
      <c r="E68" s="773" t="s">
        <v>1775</v>
      </c>
      <c r="F68" s="810">
        <f ca="1">F41</f>
        <v>0</v>
      </c>
      <c r="O68" s="2255" t="s">
        <v>2368</v>
      </c>
      <c r="P68" s="2253" t="s">
        <v>2398</v>
      </c>
      <c r="Q68" s="2259">
        <f ca="1">L51</f>
        <v>0</v>
      </c>
      <c r="R68" s="2260" t="s">
        <v>2401</v>
      </c>
    </row>
    <row r="69" spans="1:18" ht="20.25" thickBot="1">
      <c r="A69" s="779"/>
      <c r="B69" s="780"/>
      <c r="C69" s="781"/>
      <c r="D69" s="804"/>
      <c r="E69" s="773" t="s">
        <v>704</v>
      </c>
      <c r="F69" s="2225"/>
      <c r="O69" s="2255" t="s">
        <v>2369</v>
      </c>
      <c r="P69" s="2261" t="s">
        <v>2383</v>
      </c>
      <c r="Q69" s="2254">
        <f ca="1">ROUND(Q70-Q71*Q72,0)</f>
        <v>0</v>
      </c>
      <c r="R69" s="2257"/>
    </row>
    <row r="70" spans="1:18" ht="15.75" thickBot="1">
      <c r="A70" s="811" t="s">
        <v>1778</v>
      </c>
      <c r="B70" s="812" t="s">
        <v>1801</v>
      </c>
      <c r="C70" s="813" t="e">
        <f ca="1">ROUND(C67*10000/F70,0)</f>
        <v>#DIV/0!</v>
      </c>
      <c r="D70" s="814" t="s">
        <v>1802</v>
      </c>
      <c r="E70" s="815" t="s">
        <v>1803</v>
      </c>
      <c r="F70" s="816">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54" t="s">
        <v>2453</v>
      </c>
      <c r="B1" s="3555"/>
      <c r="C1" s="3556"/>
      <c r="D1" s="3557">
        <f>SUM(I10,I15,I20,I21,I23)</f>
        <v>0</v>
      </c>
      <c r="E1" s="3557"/>
      <c r="F1" s="3557"/>
      <c r="G1" s="3557"/>
      <c r="H1" s="3557"/>
      <c r="I1" s="3558"/>
    </row>
    <row r="2" spans="1:9">
      <c r="A2" s="3559" t="s">
        <v>2454</v>
      </c>
      <c r="B2" s="3560" t="s">
        <v>2455</v>
      </c>
      <c r="C2" s="3560"/>
      <c r="D2" s="2359" t="s">
        <v>2456</v>
      </c>
      <c r="E2" s="2359" t="s">
        <v>2457</v>
      </c>
      <c r="F2" s="2359" t="s">
        <v>2458</v>
      </c>
      <c r="G2" s="2359" t="s">
        <v>2459</v>
      </c>
      <c r="H2" s="2359" t="s">
        <v>2460</v>
      </c>
      <c r="I2" s="2360" t="s">
        <v>2461</v>
      </c>
    </row>
    <row r="3" spans="1:9">
      <c r="A3" s="3559"/>
      <c r="B3" s="3560" t="s">
        <v>2462</v>
      </c>
      <c r="C3" s="3560"/>
      <c r="D3" s="2361"/>
      <c r="E3" s="2359"/>
      <c r="F3" s="2362"/>
      <c r="G3" s="2362"/>
      <c r="H3" s="2363"/>
      <c r="I3" s="2364">
        <f>ROUND(D3*E3*F3*G3*H3/10000,0)</f>
        <v>0</v>
      </c>
    </row>
    <row r="4" spans="1:9">
      <c r="A4" s="3559"/>
      <c r="B4" s="3560" t="s">
        <v>2463</v>
      </c>
      <c r="C4" s="3560"/>
      <c r="D4" s="2361"/>
      <c r="E4" s="2359"/>
      <c r="F4" s="2362"/>
      <c r="G4" s="2362"/>
      <c r="H4" s="2363"/>
      <c r="I4" s="2364">
        <f t="shared" ref="I4:I9" si="0">ROUND(D4*E4*F4*G4*H4/10000,0)</f>
        <v>0</v>
      </c>
    </row>
    <row r="5" spans="1:9">
      <c r="A5" s="3559"/>
      <c r="B5" s="3560" t="s">
        <v>2464</v>
      </c>
      <c r="C5" s="3560"/>
      <c r="D5" s="2361"/>
      <c r="E5" s="2359"/>
      <c r="F5" s="2362"/>
      <c r="G5" s="2362"/>
      <c r="H5" s="2363"/>
      <c r="I5" s="2364">
        <f t="shared" si="0"/>
        <v>0</v>
      </c>
    </row>
    <row r="6" spans="1:9">
      <c r="A6" s="3559"/>
      <c r="B6" s="3560" t="s">
        <v>2465</v>
      </c>
      <c r="C6" s="3560"/>
      <c r="D6" s="2361"/>
      <c r="E6" s="2359"/>
      <c r="F6" s="2362"/>
      <c r="G6" s="2362"/>
      <c r="H6" s="2363"/>
      <c r="I6" s="2364">
        <f t="shared" si="0"/>
        <v>0</v>
      </c>
    </row>
    <row r="7" spans="1:9">
      <c r="A7" s="3559"/>
      <c r="B7" s="3560" t="s">
        <v>2466</v>
      </c>
      <c r="C7" s="3560"/>
      <c r="D7" s="2361"/>
      <c r="E7" s="2359"/>
      <c r="F7" s="2362"/>
      <c r="G7" s="2362"/>
      <c r="H7" s="2363"/>
      <c r="I7" s="2364">
        <f t="shared" si="0"/>
        <v>0</v>
      </c>
    </row>
    <row r="8" spans="1:9">
      <c r="A8" s="3559"/>
      <c r="B8" s="3560" t="s">
        <v>2467</v>
      </c>
      <c r="C8" s="3560"/>
      <c r="D8" s="2361"/>
      <c r="E8" s="2359"/>
      <c r="F8" s="2362"/>
      <c r="G8" s="2362"/>
      <c r="H8" s="2363"/>
      <c r="I8" s="2364">
        <f t="shared" si="0"/>
        <v>0</v>
      </c>
    </row>
    <row r="9" spans="1:9">
      <c r="A9" s="3559"/>
      <c r="B9" s="3560" t="s">
        <v>2468</v>
      </c>
      <c r="C9" s="3560"/>
      <c r="D9" s="2361"/>
      <c r="E9" s="2359"/>
      <c r="F9" s="2362"/>
      <c r="G9" s="2362"/>
      <c r="H9" s="2363"/>
      <c r="I9" s="2364">
        <f t="shared" si="0"/>
        <v>0</v>
      </c>
    </row>
    <row r="10" spans="1:9">
      <c r="A10" s="3559"/>
      <c r="B10" s="3561" t="s">
        <v>2469</v>
      </c>
      <c r="C10" s="3561"/>
      <c r="D10" s="2365">
        <v>527</v>
      </c>
      <c r="E10" s="2365" t="e">
        <f>ROUND(D1*10000/D10/H9,0)</f>
        <v>#DIV/0!</v>
      </c>
      <c r="F10" s="2366"/>
      <c r="G10" s="2366"/>
      <c r="H10" s="2367"/>
      <c r="I10" s="2368">
        <f>SUM(I3:I9)</f>
        <v>0</v>
      </c>
    </row>
    <row r="11" spans="1:9" ht="14.25">
      <c r="A11" s="3559" t="s">
        <v>2470</v>
      </c>
      <c r="B11" s="3560" t="s">
        <v>2471</v>
      </c>
      <c r="C11" s="3560"/>
      <c r="D11" s="2361" t="s">
        <v>2472</v>
      </c>
      <c r="E11" s="2361" t="s">
        <v>2473</v>
      </c>
      <c r="F11" s="2362" t="s">
        <v>2474</v>
      </c>
      <c r="G11" s="2362" t="s">
        <v>2475</v>
      </c>
      <c r="H11" s="2369" t="s">
        <v>2476</v>
      </c>
      <c r="I11" s="2360" t="s">
        <v>2477</v>
      </c>
    </row>
    <row r="12" spans="1:9">
      <c r="A12" s="3559"/>
      <c r="B12" s="3560" t="s">
        <v>2478</v>
      </c>
      <c r="C12" s="3560"/>
      <c r="D12" s="2361"/>
      <c r="E12" s="2361"/>
      <c r="F12" s="2362"/>
      <c r="G12" s="2363"/>
      <c r="H12" s="2370"/>
      <c r="I12" s="2360">
        <f>ROUND(D12*E12*F12*G12/10000,0)</f>
        <v>0</v>
      </c>
    </row>
    <row r="13" spans="1:9">
      <c r="A13" s="3559"/>
      <c r="B13" s="3560" t="s">
        <v>2479</v>
      </c>
      <c r="C13" s="3560"/>
      <c r="D13" s="2361"/>
      <c r="E13" s="2361"/>
      <c r="F13" s="2362"/>
      <c r="G13" s="2363"/>
      <c r="H13" s="2370"/>
      <c r="I13" s="2360">
        <f>ROUND(D13*E13*F13*G13/10000,0)</f>
        <v>0</v>
      </c>
    </row>
    <row r="14" spans="1:9">
      <c r="A14" s="3559"/>
      <c r="B14" s="3560" t="s">
        <v>2480</v>
      </c>
      <c r="C14" s="3560"/>
      <c r="D14" s="2361"/>
      <c r="E14" s="2361"/>
      <c r="F14" s="2362"/>
      <c r="G14" s="2363"/>
      <c r="H14" s="2370"/>
      <c r="I14" s="2360">
        <f>ROUND(D14*E14*F14*G14/10000,0)</f>
        <v>0</v>
      </c>
    </row>
    <row r="15" spans="1:9">
      <c r="A15" s="3559"/>
      <c r="B15" s="3561" t="s">
        <v>2469</v>
      </c>
      <c r="C15" s="3561"/>
      <c r="D15" s="2365"/>
      <c r="E15" s="2365">
        <f>SUM(E12:E14)</f>
        <v>0</v>
      </c>
      <c r="F15" s="2366"/>
      <c r="G15" s="2363"/>
      <c r="H15" s="2370"/>
      <c r="I15" s="2371">
        <f>SUM(I12:I14)</f>
        <v>0</v>
      </c>
    </row>
    <row r="16" spans="1:9" ht="24">
      <c r="A16" s="3559" t="s">
        <v>2481</v>
      </c>
      <c r="B16" s="3560" t="s">
        <v>2482</v>
      </c>
      <c r="C16" s="3560"/>
      <c r="D16" s="2361" t="s">
        <v>2483</v>
      </c>
      <c r="E16" s="2372" t="s">
        <v>2484</v>
      </c>
      <c r="F16" s="2362" t="s">
        <v>2485</v>
      </c>
      <c r="G16" s="2363" t="s">
        <v>2475</v>
      </c>
      <c r="H16" s="2369" t="s">
        <v>2476</v>
      </c>
      <c r="I16" s="2360" t="s">
        <v>2477</v>
      </c>
    </row>
    <row r="17" spans="1:9" ht="14.25">
      <c r="A17" s="3559"/>
      <c r="B17" s="3560" t="s">
        <v>2486</v>
      </c>
      <c r="C17" s="3560"/>
      <c r="D17" s="2361"/>
      <c r="E17" s="2361"/>
      <c r="F17" s="2362"/>
      <c r="G17" s="2363"/>
      <c r="H17" s="2373"/>
      <c r="I17" s="2374">
        <f>ROUND(D17*E17*F17*G17/10000,0)</f>
        <v>0</v>
      </c>
    </row>
    <row r="18" spans="1:9" ht="14.25">
      <c r="A18" s="3559"/>
      <c r="B18" s="3560" t="s">
        <v>2487</v>
      </c>
      <c r="C18" s="3560"/>
      <c r="D18" s="2361"/>
      <c r="E18" s="2361"/>
      <c r="F18" s="2362"/>
      <c r="G18" s="2363"/>
      <c r="H18" s="2373"/>
      <c r="I18" s="2374">
        <f>ROUND(D18*E18*F18*G18/10000,0)</f>
        <v>0</v>
      </c>
    </row>
    <row r="19" spans="1:9" ht="14.25">
      <c r="A19" s="3559"/>
      <c r="B19" s="3560" t="s">
        <v>2488</v>
      </c>
      <c r="C19" s="3560"/>
      <c r="D19" s="2361"/>
      <c r="E19" s="2361"/>
      <c r="F19" s="2362"/>
      <c r="G19" s="2363"/>
      <c r="H19" s="2373"/>
      <c r="I19" s="2374">
        <f>ROUND(D19*E19*F19*G19/10000,0)</f>
        <v>0</v>
      </c>
    </row>
    <row r="20" spans="1:9">
      <c r="A20" s="3559"/>
      <c r="B20" s="3561" t="s">
        <v>2469</v>
      </c>
      <c r="C20" s="3561"/>
      <c r="D20" s="2365">
        <f>SUM(D17:D19)</f>
        <v>0</v>
      </c>
      <c r="E20" s="2365"/>
      <c r="F20" s="2366"/>
      <c r="G20" s="2363"/>
      <c r="H20" s="2370"/>
      <c r="I20" s="2371">
        <f>SUM(I17:I19)</f>
        <v>0</v>
      </c>
    </row>
    <row r="21" spans="1:9">
      <c r="A21" s="3559" t="s">
        <v>2489</v>
      </c>
      <c r="B21" s="3563"/>
      <c r="C21" s="3563"/>
      <c r="D21" s="3563"/>
      <c r="E21" s="3563"/>
      <c r="F21" s="3563"/>
      <c r="G21" s="3563"/>
      <c r="H21" s="2375">
        <v>0.1</v>
      </c>
      <c r="I21" s="2368">
        <f>ROUND(I10*H21,0)</f>
        <v>0</v>
      </c>
    </row>
    <row r="22" spans="1:9" ht="14.25">
      <c r="A22" s="3564" t="s">
        <v>2490</v>
      </c>
      <c r="B22" s="3565"/>
      <c r="C22" s="3566"/>
      <c r="D22" s="2376" t="s">
        <v>2491</v>
      </c>
      <c r="E22" s="2376" t="s">
        <v>2492</v>
      </c>
      <c r="F22" s="2377" t="s">
        <v>2493</v>
      </c>
      <c r="G22" s="2377" t="s">
        <v>2494</v>
      </c>
      <c r="H22" s="2369" t="s">
        <v>2495</v>
      </c>
      <c r="I22" s="2360" t="s">
        <v>2496</v>
      </c>
    </row>
    <row r="23" spans="1:9" ht="14.25" thickBot="1">
      <c r="A23" s="3567"/>
      <c r="B23" s="3568"/>
      <c r="C23" s="3569"/>
      <c r="D23" s="2378"/>
      <c r="E23" s="2378"/>
      <c r="F23" s="2378"/>
      <c r="G23" s="2379"/>
      <c r="H23" s="2380"/>
      <c r="I23" s="2381">
        <f>ROUND(E23*D23*F23*(1-G23)/10000,0)</f>
        <v>0</v>
      </c>
    </row>
    <row r="26" spans="1:9">
      <c r="A26" s="2382" t="s">
        <v>2497</v>
      </c>
      <c r="B26" s="2382"/>
      <c r="C26" s="2382"/>
      <c r="D26" s="2382"/>
      <c r="E26" s="3570">
        <f>C27-C30-C31-C32</f>
        <v>0</v>
      </c>
      <c r="F26" s="3570"/>
      <c r="G26" s="3570"/>
      <c r="H26" s="2755" t="s">
        <v>2823</v>
      </c>
    </row>
    <row r="27" spans="1:9">
      <c r="A27" s="2383">
        <v>1</v>
      </c>
      <c r="B27" s="2384" t="s">
        <v>2498</v>
      </c>
      <c r="C27" s="2384"/>
      <c r="D27" s="2384"/>
      <c r="E27" s="3571"/>
      <c r="F27" s="3571"/>
      <c r="G27" s="3571"/>
    </row>
    <row r="28" spans="1:9">
      <c r="A28" s="2385" t="s">
        <v>2499</v>
      </c>
      <c r="B28" s="2384" t="s">
        <v>2500</v>
      </c>
      <c r="C28" s="2384"/>
      <c r="D28" s="2384"/>
      <c r="E28" s="3571"/>
      <c r="F28" s="3571"/>
      <c r="G28" s="3571"/>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562"/>
      <c r="F32" s="3562"/>
      <c r="G32" s="3562"/>
    </row>
    <row r="33" spans="1:7" hidden="1">
      <c r="A33" s="3572" t="s">
        <v>2508</v>
      </c>
      <c r="B33" s="3573"/>
      <c r="C33" s="3573"/>
      <c r="D33" s="3574"/>
      <c r="E33" s="3570"/>
      <c r="F33" s="3570"/>
      <c r="G33" s="3570"/>
    </row>
    <row r="34" spans="1:7" hidden="1">
      <c r="A34" s="2387">
        <v>1</v>
      </c>
      <c r="B34" s="2384" t="s">
        <v>2509</v>
      </c>
      <c r="C34" s="2384"/>
      <c r="D34" s="2384"/>
      <c r="E34" s="3571"/>
      <c r="F34" s="3571"/>
      <c r="G34" s="3571"/>
    </row>
    <row r="35" spans="1:7" hidden="1">
      <c r="A35" s="2387">
        <v>2</v>
      </c>
      <c r="B35" s="2384" t="s">
        <v>2510</v>
      </c>
      <c r="C35" s="2384"/>
      <c r="D35" s="2384"/>
      <c r="E35" s="3571"/>
      <c r="F35" s="3571"/>
      <c r="G35" s="3571"/>
    </row>
    <row r="36" spans="1:7" hidden="1">
      <c r="A36" s="2387">
        <v>3</v>
      </c>
      <c r="B36" s="2384" t="s">
        <v>2511</v>
      </c>
      <c r="C36" s="2384"/>
      <c r="D36" s="2384"/>
      <c r="E36" s="3571"/>
      <c r="F36" s="3571"/>
      <c r="G36" s="3571"/>
    </row>
    <row r="37" spans="1:7" hidden="1">
      <c r="A37" s="2387">
        <v>4</v>
      </c>
      <c r="B37" s="2384" t="s">
        <v>2512</v>
      </c>
      <c r="C37" s="2384"/>
      <c r="D37" s="2384"/>
      <c r="E37" s="3571"/>
      <c r="F37" s="3571"/>
      <c r="G37" s="3571"/>
    </row>
    <row r="38" spans="1:7" hidden="1">
      <c r="A38" s="3572" t="s">
        <v>2513</v>
      </c>
      <c r="B38" s="3573"/>
      <c r="C38" s="3573"/>
      <c r="D38" s="3574"/>
      <c r="E38" s="3570"/>
      <c r="F38" s="3570"/>
      <c r="G38" s="35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t="e">
        <f ca="1">C23</f>
        <v>#DIV/0!</v>
      </c>
      <c r="C2" s="3267"/>
      <c r="D2" s="3267"/>
      <c r="E2" s="3267"/>
      <c r="F2" s="3267"/>
      <c r="G2" s="3267"/>
    </row>
    <row r="3" spans="1:25" s="1941" customFormat="1" ht="18" customHeight="1">
      <c r="A3" s="1330" t="s">
        <v>1676</v>
      </c>
      <c r="B3" s="418" t="e">
        <f ca="1">ROUND(B2*10000/'数据-汇总表'!E3,0)</f>
        <v>#DIV/0!</v>
      </c>
      <c r="C3" s="3267"/>
      <c r="D3" s="3267"/>
      <c r="E3" s="3267"/>
      <c r="F3" s="3267"/>
      <c r="G3" s="3267"/>
    </row>
    <row r="4" spans="1:25" s="1941" customFormat="1" ht="18" customHeight="1">
      <c r="A4" s="419" t="s">
        <v>462</v>
      </c>
      <c r="B4" s="420" t="e">
        <f ca="1">ROUND(B2*10000/'数据-汇总表'!D3,0)</f>
        <v>#DIV/0!</v>
      </c>
      <c r="C4" s="3220"/>
      <c r="D4" s="3267"/>
      <c r="E4" s="3267"/>
      <c r="F4" s="3267"/>
      <c r="G4" s="3267"/>
    </row>
    <row r="5" spans="1:25" s="1941" customFormat="1" ht="18" customHeight="1" thickBot="1">
      <c r="A5" s="422"/>
      <c r="B5" s="423" t="e">
        <f ca="1">ROUND(B2/('数据-汇总表'!D3/666.67),0)</f>
        <v>#DIV/0!</v>
      </c>
      <c r="C5" s="424" t="s">
        <v>463</v>
      </c>
      <c r="D5" s="3267"/>
      <c r="E5" s="3267"/>
      <c r="F5" s="3267"/>
      <c r="G5" s="3267"/>
    </row>
    <row r="6" spans="1:25" s="2063" customFormat="1" ht="13.5" customHeight="1">
      <c r="A6" s="734"/>
      <c r="B6" s="735" t="s">
        <v>598</v>
      </c>
      <c r="C6" s="736" t="s">
        <v>599</v>
      </c>
      <c r="D6" s="736" t="s">
        <v>600</v>
      </c>
      <c r="E6" s="737" t="s">
        <v>601</v>
      </c>
      <c r="F6" s="737" t="s">
        <v>602</v>
      </c>
      <c r="G6" s="3266" t="s">
        <v>2995</v>
      </c>
    </row>
    <row r="7" spans="1:25" s="2063" customFormat="1" ht="13.5" customHeight="1">
      <c r="A7" s="2322">
        <v>1</v>
      </c>
      <c r="B7" s="738" t="s">
        <v>603</v>
      </c>
      <c r="C7" s="739">
        <f>C8+C9</f>
        <v>0</v>
      </c>
      <c r="D7" s="739"/>
      <c r="E7" s="740"/>
      <c r="F7" s="740"/>
      <c r="G7" s="2331"/>
    </row>
    <row r="8" spans="1:25" s="2063" customFormat="1" ht="13.5" customHeight="1">
      <c r="A8" s="2322" t="s">
        <v>2423</v>
      </c>
      <c r="B8" s="2325" t="s">
        <v>2425</v>
      </c>
      <c r="C8" s="3270">
        <f t="shared" ref="C8:C9" si="0">ROUND(D8*E8/10000,0)</f>
        <v>0</v>
      </c>
      <c r="D8" s="3270">
        <v>0</v>
      </c>
      <c r="E8" s="3271">
        <v>0</v>
      </c>
      <c r="F8" s="740"/>
      <c r="G8" s="741"/>
    </row>
    <row r="9" spans="1:25" s="2063" customFormat="1" ht="13.5" customHeight="1">
      <c r="A9" s="2322" t="s">
        <v>2424</v>
      </c>
      <c r="B9" s="2325" t="s">
        <v>2426</v>
      </c>
      <c r="C9" s="3270">
        <f t="shared" si="0"/>
        <v>0</v>
      </c>
      <c r="D9" s="3270">
        <v>0</v>
      </c>
      <c r="E9" s="3271">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2423</v>
      </c>
      <c r="B11" s="742" t="s">
        <v>604</v>
      </c>
      <c r="C11" s="743">
        <f>'数据-取费表'!B29</f>
        <v>0</v>
      </c>
      <c r="D11" s="744"/>
      <c r="E11" s="743"/>
      <c r="F11" s="745"/>
      <c r="G11" s="2330" t="s">
        <v>2434</v>
      </c>
    </row>
    <row r="12" spans="1:25" s="2063" customFormat="1" ht="13.5" customHeight="1">
      <c r="A12" s="2328" t="s">
        <v>2431</v>
      </c>
      <c r="B12" s="746" t="s">
        <v>605</v>
      </c>
      <c r="C12" s="747">
        <f>ROUND(D12*E12/10000,0)</f>
        <v>0</v>
      </c>
      <c r="D12" s="3270">
        <f>'数据-汇总表'!E5</f>
        <v>0</v>
      </c>
      <c r="E12" s="3270">
        <f>'数据-取费表'!B27</f>
        <v>0</v>
      </c>
      <c r="F12" s="745"/>
      <c r="G12" s="748"/>
    </row>
    <row r="13" spans="1:25" s="2063" customFormat="1" ht="13.5" customHeight="1">
      <c r="A13" s="2328" t="s">
        <v>2430</v>
      </c>
      <c r="B13" s="746" t="s">
        <v>606</v>
      </c>
      <c r="C13" s="747">
        <f>ROUND(D13*E13/10000,0)</f>
        <v>190</v>
      </c>
      <c r="D13" s="3270">
        <f>'数据-汇总表'!E6</f>
        <v>9501</v>
      </c>
      <c r="E13" s="3270">
        <f>'数据-取费表'!B28</f>
        <v>200</v>
      </c>
      <c r="F13" s="745"/>
      <c r="G13" s="748"/>
    </row>
    <row r="14" spans="1:25" s="2063" customFormat="1" ht="13.5" customHeight="1">
      <c r="A14" s="2322" t="s">
        <v>2424</v>
      </c>
      <c r="B14" s="2327" t="s">
        <v>2427</v>
      </c>
      <c r="C14" s="3272">
        <f t="shared" ref="C14:C15" si="1">ROUND(D14*E14/10000,0)</f>
        <v>0</v>
      </c>
      <c r="D14" s="3270">
        <v>0</v>
      </c>
      <c r="E14" s="3271">
        <v>0</v>
      </c>
      <c r="F14" s="2326"/>
      <c r="G14" s="2329" t="s">
        <v>2432</v>
      </c>
    </row>
    <row r="15" spans="1:25" s="2063" customFormat="1" ht="13.5" customHeight="1">
      <c r="A15" s="2322" t="s">
        <v>2429</v>
      </c>
      <c r="B15" s="2327" t="s">
        <v>2428</v>
      </c>
      <c r="C15" s="3272">
        <f t="shared" si="1"/>
        <v>0</v>
      </c>
      <c r="D15" s="3270">
        <v>0</v>
      </c>
      <c r="E15" s="3271">
        <v>0</v>
      </c>
      <c r="F15" s="2326"/>
      <c r="G15" s="2329" t="s">
        <v>2433</v>
      </c>
    </row>
    <row r="16" spans="1:25" s="2064" customFormat="1" ht="48">
      <c r="A16" s="2322">
        <v>3</v>
      </c>
      <c r="B16" s="738" t="s">
        <v>609</v>
      </c>
      <c r="C16" s="3272">
        <f t="shared" ref="C16" si="2">ROUND(D16*E16/10000,0)</f>
        <v>0</v>
      </c>
      <c r="D16" s="3270">
        <v>0</v>
      </c>
      <c r="E16" s="3271">
        <v>0</v>
      </c>
      <c r="F16" s="750"/>
      <c r="G16" s="748"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1">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t="e">
        <f ca="1">ROUND(C21*F22,0)</f>
        <v>#DIV/0!</v>
      </c>
      <c r="D22" s="749"/>
      <c r="E22" s="739"/>
      <c r="F22" s="755" t="e">
        <f>'数据-取费表'!AP16</f>
        <v>#DIV/0!</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t="e">
        <f ca="1">C22</f>
        <v>#DIV/0!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c r="E1" s="2008"/>
      <c r="F1" s="2523"/>
      <c r="G1" s="1531" t="s">
        <v>715</v>
      </c>
      <c r="H1" s="499"/>
      <c r="I1" s="499"/>
      <c r="J1" s="499"/>
      <c r="K1" s="500"/>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6" t="s">
        <v>461</v>
      </c>
      <c r="B2" s="2465" t="e">
        <f>ROUND(B3*D3/10000,0)</f>
        <v>#DIV/0!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5" t="s">
        <v>515</v>
      </c>
      <c r="B4" s="506"/>
      <c r="C4" s="3464" t="s">
        <v>516</v>
      </c>
      <c r="D4" s="3465"/>
      <c r="E4" s="3498" t="s">
        <v>517</v>
      </c>
      <c r="F4" s="3499"/>
      <c r="G4" s="3464" t="s">
        <v>518</v>
      </c>
      <c r="H4" s="3465"/>
      <c r="I4" s="3464" t="s">
        <v>519</v>
      </c>
      <c r="J4" s="3465"/>
      <c r="K4" s="841" t="s">
        <v>520</v>
      </c>
      <c r="L4" s="2014"/>
      <c r="M4" s="2015"/>
      <c r="N4" s="2015"/>
      <c r="O4" s="2015"/>
      <c r="P4" s="3466" t="s">
        <v>521</v>
      </c>
      <c r="Q4" s="3467"/>
      <c r="R4" s="3472" t="s">
        <v>517</v>
      </c>
      <c r="S4" s="3473"/>
      <c r="T4" s="3472" t="s">
        <v>518</v>
      </c>
      <c r="U4" s="3473"/>
      <c r="V4" s="3459" t="s">
        <v>519</v>
      </c>
      <c r="W4" s="3459"/>
      <c r="X4" s="1501"/>
      <c r="Y4" s="3472" t="s">
        <v>521</v>
      </c>
      <c r="Z4" s="3473"/>
      <c r="AA4" s="3461" t="s">
        <v>517</v>
      </c>
      <c r="AB4" s="3461" t="s">
        <v>518</v>
      </c>
      <c r="AC4" s="3461" t="s">
        <v>519</v>
      </c>
    </row>
    <row r="5" spans="1:29" ht="15">
      <c r="A5" s="508"/>
      <c r="B5" s="509"/>
      <c r="C5" s="3480" t="s">
        <v>2898</v>
      </c>
      <c r="D5" s="3481"/>
      <c r="E5" s="3500" t="s">
        <v>2899</v>
      </c>
      <c r="F5" s="3501"/>
      <c r="G5" s="3480" t="s">
        <v>2900</v>
      </c>
      <c r="H5" s="3481"/>
      <c r="I5" s="3480" t="s">
        <v>2901</v>
      </c>
      <c r="J5" s="3481"/>
      <c r="K5" s="842"/>
      <c r="L5" s="2014"/>
      <c r="M5" s="2015"/>
      <c r="N5" s="2015"/>
      <c r="O5" s="2015"/>
      <c r="P5" s="3468"/>
      <c r="Q5" s="3469"/>
      <c r="R5" s="3474"/>
      <c r="S5" s="3475"/>
      <c r="T5" s="3474"/>
      <c r="U5" s="3475"/>
      <c r="V5" s="3459"/>
      <c r="W5" s="3459"/>
      <c r="X5" s="1501"/>
      <c r="Y5" s="3474"/>
      <c r="Z5" s="3475"/>
      <c r="AA5" s="3462"/>
      <c r="AB5" s="3462"/>
      <c r="AC5" s="3462"/>
    </row>
    <row r="6" spans="1:29" ht="15.75" thickBot="1">
      <c r="A6" s="510"/>
      <c r="B6" s="511"/>
      <c r="C6" s="3478" t="s">
        <v>2902</v>
      </c>
      <c r="D6" s="3479"/>
      <c r="E6" s="3496" t="s">
        <v>2902</v>
      </c>
      <c r="F6" s="3497"/>
      <c r="G6" s="3478" t="s">
        <v>2902</v>
      </c>
      <c r="H6" s="3479"/>
      <c r="I6" s="3478" t="s">
        <v>2902</v>
      </c>
      <c r="J6" s="3479"/>
      <c r="K6" s="842" t="s">
        <v>522</v>
      </c>
      <c r="L6" s="2014"/>
      <c r="M6" s="2015"/>
      <c r="N6" s="2015"/>
      <c r="O6" s="2015"/>
      <c r="P6" s="3470"/>
      <c r="Q6" s="3471"/>
      <c r="R6" s="3474"/>
      <c r="S6" s="3475"/>
      <c r="T6" s="3476"/>
      <c r="U6" s="3477"/>
      <c r="V6" s="3459"/>
      <c r="W6" s="3459"/>
      <c r="X6" s="1501"/>
      <c r="Y6" s="3476"/>
      <c r="Z6" s="3477"/>
      <c r="AA6" s="3463"/>
      <c r="AB6" s="3463"/>
      <c r="AC6" s="3463"/>
    </row>
    <row r="7" spans="1:29" s="1202" customFormat="1" ht="15.75" thickBot="1">
      <c r="A7" s="2628"/>
      <c r="B7" s="2635" t="s">
        <v>523</v>
      </c>
      <c r="C7" s="512">
        <f>'数据-取费表'!B2</f>
        <v>44371</v>
      </c>
      <c r="D7" s="513">
        <v>100</v>
      </c>
      <c r="E7" s="514"/>
      <c r="F7" s="515">
        <f>SUMIF(58:58,YEAR(E7)&amp;"-"&amp;MONTH(E7),59:59)</f>
        <v>0</v>
      </c>
      <c r="G7" s="516"/>
      <c r="H7" s="513">
        <f>SUMIF(58:58,YEAR(G7)&amp;"-"&amp;MONTH(G7),59:59)</f>
        <v>0</v>
      </c>
      <c r="I7" s="516"/>
      <c r="J7" s="513">
        <f>SUMIF(58:58,YEAR(I7)&amp;"-"&amp;MONTH(I7),59:59)</f>
        <v>0</v>
      </c>
      <c r="K7" s="843"/>
      <c r="L7" s="2016"/>
      <c r="M7" s="2017"/>
      <c r="N7" s="2017"/>
      <c r="O7" s="2017"/>
      <c r="P7" s="3489" t="s">
        <v>524</v>
      </c>
      <c r="Q7" s="3491"/>
      <c r="R7" s="1502" t="s">
        <v>13</v>
      </c>
      <c r="S7" s="1503">
        <f t="shared" ref="S7:S15" si="0">F7</f>
        <v>0</v>
      </c>
      <c r="T7" s="1502" t="s">
        <v>13</v>
      </c>
      <c r="U7" s="1503">
        <f t="shared" ref="U7:U15" si="1">H7</f>
        <v>0</v>
      </c>
      <c r="V7" s="1502" t="s">
        <v>13</v>
      </c>
      <c r="W7" s="1503">
        <f t="shared" ref="W7:W15"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844"/>
      <c r="F8" s="515">
        <f>SUMIF(61:61,E8,62:62)-SUMIF(61:61,C8,62:62)+100</f>
        <v>0</v>
      </c>
      <c r="G8" s="518"/>
      <c r="H8" s="513">
        <f>SUMIF(61:61,G8,62:62)-SUMIF(61:61,C8,62:62)+100</f>
        <v>0</v>
      </c>
      <c r="I8" s="844"/>
      <c r="J8" s="513">
        <f>SUMIF(61:61,I8,62:62)-SUMIF(61:61,C8,62:62)+100</f>
        <v>0</v>
      </c>
      <c r="K8" s="843"/>
      <c r="L8" s="2016"/>
      <c r="M8" s="2017"/>
      <c r="N8" s="2017"/>
      <c r="O8" s="2017"/>
      <c r="P8" s="3489" t="s">
        <v>527</v>
      </c>
      <c r="Q8" s="3490"/>
      <c r="R8" s="1502" t="s">
        <v>13</v>
      </c>
      <c r="S8" s="1503">
        <f t="shared" si="0"/>
        <v>0</v>
      </c>
      <c r="T8" s="1502" t="s">
        <v>13</v>
      </c>
      <c r="U8" s="1503">
        <f t="shared" si="1"/>
        <v>0</v>
      </c>
      <c r="V8" s="1502" t="s">
        <v>13</v>
      </c>
      <c r="W8" s="1503">
        <f t="shared" si="2"/>
        <v>0</v>
      </c>
      <c r="X8" s="1504"/>
      <c r="Y8" s="3489" t="s">
        <v>527</v>
      </c>
      <c r="Z8" s="3490"/>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6"/>
      <c r="F9" s="847">
        <f>SUMIF(63:63,E9,64:64)-SUMIF(63:63,C9,64:64)+100</f>
        <v>100</v>
      </c>
      <c r="G9" s="848"/>
      <c r="H9" s="252">
        <f>SUMIF(63:63,G9,64:64)-SUMIF(63:63,C9,64:64)+100</f>
        <v>100</v>
      </c>
      <c r="I9" s="848"/>
      <c r="J9" s="252">
        <f>SUMIF(63:63,I9,64:64)-SUMIF(63:63,C9,64:64)+100</f>
        <v>100</v>
      </c>
      <c r="K9" s="843"/>
      <c r="L9" s="2016"/>
      <c r="M9" s="2017"/>
      <c r="N9" s="2017"/>
      <c r="O9" s="2018"/>
      <c r="P9" s="3458" t="s">
        <v>529</v>
      </c>
      <c r="Q9" s="1133" t="str">
        <f t="shared" ref="Q9:Q15" si="6">B9</f>
        <v>用途</v>
      </c>
      <c r="R9" s="1502" t="s">
        <v>8</v>
      </c>
      <c r="S9" s="1503">
        <f t="shared" si="0"/>
        <v>100</v>
      </c>
      <c r="T9" s="1502" t="s">
        <v>8</v>
      </c>
      <c r="U9" s="1503">
        <f t="shared" si="1"/>
        <v>100</v>
      </c>
      <c r="V9" s="1502" t="s">
        <v>8</v>
      </c>
      <c r="W9" s="1503">
        <f t="shared" si="2"/>
        <v>100</v>
      </c>
      <c r="X9" s="1504"/>
      <c r="Y9" s="3404"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50"/>
      <c r="F10" s="851">
        <f>SUMIF(65:65,E10,66:66)-SUMIF(65:65,C10,66:66)+100</f>
        <v>100</v>
      </c>
      <c r="G10" s="849"/>
      <c r="H10" s="253">
        <f>SUMIF(65:65,G10,66:66)-SUMIF(65:65,C10,66:66)+100</f>
        <v>100</v>
      </c>
      <c r="I10" s="849"/>
      <c r="J10" s="253">
        <f>SUMIF(65:65,I10,66:66)-SUMIF(65:65,C10,66:66)+100</f>
        <v>100</v>
      </c>
      <c r="K10" s="852"/>
      <c r="L10" s="2019"/>
      <c r="M10" s="2058"/>
      <c r="N10" s="2058"/>
      <c r="O10" s="2020"/>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2"/>
      <c r="B11" s="2636" t="s">
        <v>2739</v>
      </c>
      <c r="C11" s="526"/>
      <c r="D11" s="253">
        <v>100</v>
      </c>
      <c r="E11" s="527"/>
      <c r="F11" s="851" t="e">
        <f>LOOKUP(E11,68:68,69:69)-LOOKUP(C11,68:68,69:69)+100</f>
        <v>#N/A</v>
      </c>
      <c r="G11" s="526"/>
      <c r="H11" s="253" t="e">
        <f>LOOKUP(G11,68:68,69:69)-LOOKUP(C11,68:68,69:69)+100</f>
        <v>#N/A</v>
      </c>
      <c r="I11" s="526"/>
      <c r="J11" s="253" t="e">
        <f>LOOKUP(I11,68:68,69:69)-LOOKUP(C11,68:68,69:69)+100</f>
        <v>#N/A</v>
      </c>
      <c r="K11" s="852"/>
      <c r="L11" s="2021"/>
      <c r="M11" s="2015"/>
      <c r="N11" s="2015"/>
      <c r="O11" s="2022"/>
      <c r="P11" s="3458"/>
      <c r="Q11" s="1133" t="str">
        <f t="shared" si="6"/>
        <v>容积率</v>
      </c>
      <c r="R11" s="1502" t="s">
        <v>11</v>
      </c>
      <c r="S11" s="1503" t="e">
        <f t="shared" si="0"/>
        <v>#N/A</v>
      </c>
      <c r="T11" s="1502" t="s">
        <v>11</v>
      </c>
      <c r="U11" s="1503" t="e">
        <f t="shared" si="1"/>
        <v>#N/A</v>
      </c>
      <c r="V11" s="1502" t="s">
        <v>11</v>
      </c>
      <c r="W11" s="1503" t="e">
        <f t="shared" si="2"/>
        <v>#N/A</v>
      </c>
      <c r="X11" s="1504"/>
      <c r="Y11" s="3404"/>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851">
        <f>SUMIF(70:70,E12,71:71)-SUMIF(70:70,C12,71:71)+100</f>
        <v>100</v>
      </c>
      <c r="G12" s="521"/>
      <c r="H12" s="253">
        <f>SUMIF(70:70,G12,71:71)-SUMIF(70:70,C12,71:71)+100</f>
        <v>100</v>
      </c>
      <c r="I12" s="521"/>
      <c r="J12" s="253">
        <f>SUMIF(70:70,I12,71:71)-SUMIF(70:70,C12,71:71)+100</f>
        <v>100</v>
      </c>
      <c r="K12" s="853"/>
      <c r="L12" s="2016"/>
      <c r="M12" s="2017"/>
      <c r="N12" s="2017"/>
      <c r="O12" s="2018"/>
      <c r="P12" s="3458"/>
      <c r="Q12" s="1133">
        <f t="shared" si="6"/>
        <v>111</v>
      </c>
      <c r="R12" s="1502" t="s">
        <v>11</v>
      </c>
      <c r="S12" s="1503">
        <f t="shared" si="0"/>
        <v>100</v>
      </c>
      <c r="T12" s="1502" t="s">
        <v>11</v>
      </c>
      <c r="U12" s="1503">
        <f t="shared" si="1"/>
        <v>100</v>
      </c>
      <c r="V12" s="1502" t="s">
        <v>11</v>
      </c>
      <c r="W12" s="1503">
        <f t="shared" si="2"/>
        <v>100</v>
      </c>
      <c r="X12" s="1504"/>
      <c r="Y12" s="3404"/>
      <c r="Z12" s="1132">
        <f t="shared" si="7"/>
        <v>111</v>
      </c>
      <c r="AA12" s="1505">
        <f>D12/F12</f>
        <v>1</v>
      </c>
      <c r="AB12" s="1505">
        <f>D12/H12</f>
        <v>1</v>
      </c>
      <c r="AC12" s="1505">
        <f>D12/J12</f>
        <v>1</v>
      </c>
    </row>
    <row r="13" spans="1:29" ht="15">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58"/>
      <c r="Q13" s="1133">
        <f t="shared" si="6"/>
        <v>111</v>
      </c>
      <c r="R13" s="1502" t="s">
        <v>11</v>
      </c>
      <c r="S13" s="1503">
        <f t="shared" si="0"/>
        <v>100</v>
      </c>
      <c r="T13" s="1502" t="s">
        <v>11</v>
      </c>
      <c r="U13" s="1503">
        <f t="shared" si="1"/>
        <v>100</v>
      </c>
      <c r="V13" s="1502" t="s">
        <v>11</v>
      </c>
      <c r="W13" s="1503">
        <f t="shared" si="2"/>
        <v>100</v>
      </c>
      <c r="X13" s="1504"/>
      <c r="Y13" s="3404"/>
      <c r="Z13" s="1132">
        <f t="shared" si="7"/>
        <v>111</v>
      </c>
      <c r="AA13" s="1505">
        <f t="shared" si="3"/>
        <v>1</v>
      </c>
      <c r="AB13" s="1505">
        <f t="shared" si="4"/>
        <v>1</v>
      </c>
      <c r="AC13" s="1505">
        <f t="shared" si="5"/>
        <v>1</v>
      </c>
    </row>
    <row r="14" spans="1:29" ht="15.75"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58"/>
      <c r="Q14" s="1133">
        <f t="shared" si="6"/>
        <v>111</v>
      </c>
      <c r="R14" s="1502" t="s">
        <v>11</v>
      </c>
      <c r="S14" s="1503">
        <f t="shared" si="0"/>
        <v>100</v>
      </c>
      <c r="T14" s="1502" t="s">
        <v>11</v>
      </c>
      <c r="U14" s="1503">
        <f t="shared" si="1"/>
        <v>100</v>
      </c>
      <c r="V14" s="1502" t="s">
        <v>11</v>
      </c>
      <c r="W14" s="1503">
        <f t="shared" si="2"/>
        <v>100</v>
      </c>
      <c r="X14" s="1504"/>
      <c r="Y14" s="3404"/>
      <c r="Z14" s="1132">
        <f t="shared" si="7"/>
        <v>111</v>
      </c>
      <c r="AA14" s="1505">
        <f t="shared" si="3"/>
        <v>1</v>
      </c>
      <c r="AB14" s="1505">
        <f t="shared" si="4"/>
        <v>1</v>
      </c>
      <c r="AC14" s="1505">
        <f t="shared" si="5"/>
        <v>1</v>
      </c>
    </row>
    <row r="15" spans="1:29" ht="99.75">
      <c r="A15" s="2626" t="s">
        <v>2735</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492" t="s">
        <v>534</v>
      </c>
      <c r="Q15" s="1506" t="str">
        <f t="shared" si="6"/>
        <v>居住社区成熟度</v>
      </c>
      <c r="R15" s="1507" t="s">
        <v>11</v>
      </c>
      <c r="S15" s="1508">
        <f t="shared" si="0"/>
        <v>100</v>
      </c>
      <c r="T15" s="1507" t="s">
        <v>11</v>
      </c>
      <c r="U15" s="1508">
        <f t="shared" si="1"/>
        <v>100</v>
      </c>
      <c r="V15" s="1507" t="s">
        <v>11</v>
      </c>
      <c r="W15" s="1508">
        <f t="shared" si="2"/>
        <v>100</v>
      </c>
      <c r="X15" s="1501"/>
      <c r="Y15" s="3492"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3"/>
      <c r="M16" s="2015"/>
      <c r="N16" s="2015"/>
      <c r="O16" s="2022"/>
      <c r="P16" s="3493"/>
      <c r="Q16" s="1506"/>
      <c r="R16" s="1507"/>
      <c r="S16" s="1508"/>
      <c r="T16" s="1507"/>
      <c r="U16" s="1508"/>
      <c r="V16" s="1507"/>
      <c r="W16" s="1508"/>
      <c r="X16" s="1501"/>
      <c r="Y16" s="3493"/>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493"/>
      <c r="Q17" s="1506" t="str">
        <f>B17</f>
        <v>交通便捷度</v>
      </c>
      <c r="R17" s="1507" t="s">
        <v>11</v>
      </c>
      <c r="S17" s="1508">
        <f>F17</f>
        <v>100</v>
      </c>
      <c r="T17" s="1507" t="s">
        <v>11</v>
      </c>
      <c r="U17" s="1508">
        <f>H17</f>
        <v>100</v>
      </c>
      <c r="V17" s="1507" t="s">
        <v>11</v>
      </c>
      <c r="W17" s="1508">
        <f>J17</f>
        <v>100</v>
      </c>
      <c r="X17" s="1501"/>
      <c r="Y17" s="3493"/>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3"/>
      <c r="M18" s="2015"/>
      <c r="N18" s="2015"/>
      <c r="O18" s="2022"/>
      <c r="P18" s="3493"/>
      <c r="Q18" s="1506"/>
      <c r="R18" s="1507"/>
      <c r="S18" s="1508"/>
      <c r="T18" s="1507"/>
      <c r="U18" s="1508"/>
      <c r="V18" s="1507"/>
      <c r="W18" s="1508"/>
      <c r="X18" s="1501"/>
      <c r="Y18" s="3493"/>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493"/>
      <c r="Q19" s="1506" t="str">
        <f>B19</f>
        <v>公共配套设施</v>
      </c>
      <c r="R19" s="1507" t="s">
        <v>11</v>
      </c>
      <c r="S19" s="1508">
        <f>F19</f>
        <v>100</v>
      </c>
      <c r="T19" s="1507" t="s">
        <v>11</v>
      </c>
      <c r="U19" s="1508">
        <f>H19</f>
        <v>100</v>
      </c>
      <c r="V19" s="1507" t="s">
        <v>11</v>
      </c>
      <c r="W19" s="1508">
        <f>J19</f>
        <v>100</v>
      </c>
      <c r="X19" s="1501"/>
      <c r="Y19" s="3493"/>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3"/>
      <c r="M20" s="2015"/>
      <c r="N20" s="2015"/>
      <c r="O20" s="2022"/>
      <c r="P20" s="3493"/>
      <c r="Q20" s="1506"/>
      <c r="R20" s="1507"/>
      <c r="S20" s="1508"/>
      <c r="T20" s="1507"/>
      <c r="U20" s="1508"/>
      <c r="V20" s="1507"/>
      <c r="W20" s="1508"/>
      <c r="X20" s="1501"/>
      <c r="Y20" s="3493"/>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493"/>
      <c r="Q21" s="2428" t="str">
        <f>B21</f>
        <v>基础设施水平</v>
      </c>
      <c r="R21" s="1507" t="s">
        <v>11</v>
      </c>
      <c r="S21" s="1508">
        <f>F21</f>
        <v>100</v>
      </c>
      <c r="T21" s="1507" t="s">
        <v>11</v>
      </c>
      <c r="U21" s="1508">
        <f>H21</f>
        <v>100</v>
      </c>
      <c r="V21" s="1507" t="s">
        <v>11</v>
      </c>
      <c r="W21" s="1508">
        <f>J21</f>
        <v>100</v>
      </c>
      <c r="X21" s="2430"/>
      <c r="Y21" s="3493"/>
      <c r="Z21" s="2429"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2"/>
      <c r="L22" s="2023"/>
      <c r="M22" s="2015"/>
      <c r="N22" s="2015"/>
      <c r="O22" s="2022"/>
      <c r="P22" s="3493"/>
      <c r="Q22" s="2428"/>
      <c r="R22" s="1507"/>
      <c r="S22" s="1508"/>
      <c r="T22" s="1507"/>
      <c r="U22" s="1508"/>
      <c r="V22" s="1507"/>
      <c r="W22" s="1508"/>
      <c r="X22" s="2430"/>
      <c r="Y22" s="3493"/>
      <c r="Z22" s="2429"/>
      <c r="AA22" s="1510">
        <v>1</v>
      </c>
      <c r="AB22" s="1510">
        <v>1</v>
      </c>
      <c r="AC22" s="1510">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493"/>
      <c r="Q23" s="1506" t="str">
        <f>B23</f>
        <v>自然及人文环境</v>
      </c>
      <c r="R23" s="1507" t="s">
        <v>11</v>
      </c>
      <c r="S23" s="1508">
        <f>F23</f>
        <v>100</v>
      </c>
      <c r="T23" s="1507" t="s">
        <v>11</v>
      </c>
      <c r="U23" s="1508">
        <f>H23</f>
        <v>100</v>
      </c>
      <c r="V23" s="1507" t="s">
        <v>11</v>
      </c>
      <c r="W23" s="1508">
        <f>J23</f>
        <v>100</v>
      </c>
      <c r="X23" s="1501"/>
      <c r="Y23" s="3493"/>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3"/>
      <c r="M24" s="2015"/>
      <c r="N24" s="2015"/>
      <c r="O24" s="2022"/>
      <c r="P24" s="3493"/>
      <c r="Q24" s="1506"/>
      <c r="R24" s="1507"/>
      <c r="S24" s="1508"/>
      <c r="T24" s="1507"/>
      <c r="U24" s="1508"/>
      <c r="V24" s="1507"/>
      <c r="W24" s="1508"/>
      <c r="X24" s="1501"/>
      <c r="Y24" s="3493"/>
      <c r="Z24" s="1509"/>
      <c r="AA24" s="1510">
        <v>1</v>
      </c>
      <c r="AB24" s="1510">
        <v>1</v>
      </c>
      <c r="AC24" s="1510">
        <v>1</v>
      </c>
    </row>
    <row r="25" spans="1:29" ht="15">
      <c r="A25" s="525"/>
      <c r="B25" s="1808" t="s">
        <v>2245</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493"/>
      <c r="Q25" s="1506" t="str">
        <f t="shared" ref="Q25:Q46" si="11">B25</f>
        <v>楼层-1</v>
      </c>
      <c r="R25" s="1507" t="s">
        <v>11</v>
      </c>
      <c r="S25" s="1508">
        <f>F25</f>
        <v>100</v>
      </c>
      <c r="T25" s="1507" t="s">
        <v>11</v>
      </c>
      <c r="U25" s="1508">
        <f>H25</f>
        <v>100</v>
      </c>
      <c r="V25" s="1507" t="s">
        <v>11</v>
      </c>
      <c r="W25" s="1508">
        <f>J25</f>
        <v>100</v>
      </c>
      <c r="X25" s="1501"/>
      <c r="Y25" s="3493"/>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493"/>
      <c r="Q26" s="1506" t="str">
        <f t="shared" si="11"/>
        <v>朝向</v>
      </c>
      <c r="R26" s="1507" t="s">
        <v>11</v>
      </c>
      <c r="S26" s="1508">
        <f>F26</f>
        <v>100</v>
      </c>
      <c r="T26" s="1507" t="s">
        <v>11</v>
      </c>
      <c r="U26" s="1508">
        <f>H26</f>
        <v>100</v>
      </c>
      <c r="V26" s="1507" t="s">
        <v>11</v>
      </c>
      <c r="W26" s="1508">
        <f>J26</f>
        <v>100</v>
      </c>
      <c r="X26" s="1501"/>
      <c r="Y26" s="3493"/>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493"/>
      <c r="Q27" s="1133" t="str">
        <f t="shared" si="11"/>
        <v>道路级别</v>
      </c>
      <c r="R27" s="1502" t="s">
        <v>11</v>
      </c>
      <c r="S27" s="1503">
        <f>F27</f>
        <v>100</v>
      </c>
      <c r="T27" s="1502" t="s">
        <v>11</v>
      </c>
      <c r="U27" s="1503">
        <f>H27</f>
        <v>100</v>
      </c>
      <c r="V27" s="1502" t="s">
        <v>11</v>
      </c>
      <c r="W27" s="1503">
        <f>J27</f>
        <v>100</v>
      </c>
      <c r="X27" s="1504"/>
      <c r="Y27" s="3493"/>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493"/>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3"/>
      <c r="Z28" s="1509">
        <f t="shared" ref="Z28:Z46" si="15">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493"/>
      <c r="Q29" s="1506">
        <f t="shared" si="11"/>
        <v>111</v>
      </c>
      <c r="R29" s="1507" t="s">
        <v>11</v>
      </c>
      <c r="S29" s="1508">
        <f t="shared" si="12"/>
        <v>100</v>
      </c>
      <c r="T29" s="1507" t="s">
        <v>11</v>
      </c>
      <c r="U29" s="1508">
        <f t="shared" si="13"/>
        <v>100</v>
      </c>
      <c r="V29" s="1507" t="s">
        <v>11</v>
      </c>
      <c r="W29" s="1508">
        <f t="shared" si="14"/>
        <v>100</v>
      </c>
      <c r="X29" s="1501"/>
      <c r="Y29" s="3493"/>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493"/>
      <c r="Q30" s="1506">
        <f t="shared" si="11"/>
        <v>111</v>
      </c>
      <c r="R30" s="1507" t="s">
        <v>11</v>
      </c>
      <c r="S30" s="1508">
        <f t="shared" si="12"/>
        <v>100</v>
      </c>
      <c r="T30" s="1507" t="s">
        <v>11</v>
      </c>
      <c r="U30" s="1508">
        <f t="shared" si="13"/>
        <v>100</v>
      </c>
      <c r="V30" s="1507" t="s">
        <v>11</v>
      </c>
      <c r="W30" s="1508">
        <f t="shared" si="14"/>
        <v>100</v>
      </c>
      <c r="X30" s="1501"/>
      <c r="Y30" s="3493"/>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493"/>
      <c r="Q31" s="1506">
        <f t="shared" si="11"/>
        <v>111</v>
      </c>
      <c r="R31" s="1507" t="s">
        <v>11</v>
      </c>
      <c r="S31" s="1508">
        <f t="shared" si="12"/>
        <v>100</v>
      </c>
      <c r="T31" s="1507" t="s">
        <v>11</v>
      </c>
      <c r="U31" s="1508">
        <f t="shared" si="13"/>
        <v>100</v>
      </c>
      <c r="V31" s="1507" t="s">
        <v>11</v>
      </c>
      <c r="W31" s="1508">
        <f t="shared" si="14"/>
        <v>100</v>
      </c>
      <c r="X31" s="1501"/>
      <c r="Y31" s="3493"/>
      <c r="Z31" s="1509">
        <f t="shared" si="15"/>
        <v>111</v>
      </c>
      <c r="AA31" s="1510">
        <f t="shared" si="3"/>
        <v>1</v>
      </c>
      <c r="AB31" s="1510">
        <f t="shared" si="4"/>
        <v>1</v>
      </c>
      <c r="AC31" s="1510">
        <f t="shared" si="5"/>
        <v>1</v>
      </c>
    </row>
    <row r="32" spans="1:29" ht="15">
      <c r="A32" s="2623" t="s">
        <v>2736</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494" t="s">
        <v>544</v>
      </c>
      <c r="Q32" s="1506" t="str">
        <f t="shared" si="11"/>
        <v>建筑类型</v>
      </c>
      <c r="R32" s="1507" t="s">
        <v>11</v>
      </c>
      <c r="S32" s="1508">
        <f t="shared" si="12"/>
        <v>100</v>
      </c>
      <c r="T32" s="1507" t="s">
        <v>11</v>
      </c>
      <c r="U32" s="1508">
        <f t="shared" si="13"/>
        <v>100</v>
      </c>
      <c r="V32" s="1507" t="s">
        <v>11</v>
      </c>
      <c r="W32" s="1508">
        <f t="shared" si="14"/>
        <v>100</v>
      </c>
      <c r="X32" s="1501"/>
      <c r="Y32" s="3495" t="s">
        <v>544</v>
      </c>
      <c r="Z32" s="1509" t="str">
        <f t="shared" si="15"/>
        <v>建筑类型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7"/>
      <c r="J33" s="253" t="e">
        <f>LOOKUP(I33,103:103,104:104)-LOOKUP(C33,103:103,104:104)+100</f>
        <v>#N/A</v>
      </c>
      <c r="K33" s="853"/>
      <c r="L33" s="2021"/>
      <c r="M33" s="2051"/>
      <c r="N33" s="2051"/>
      <c r="O33" s="2024"/>
      <c r="P33" s="3495"/>
      <c r="Q33" s="1535" t="str">
        <f t="shared" si="11"/>
        <v>项目建筑规模</v>
      </c>
      <c r="R33" s="1511" t="s">
        <v>11</v>
      </c>
      <c r="S33" s="1512" t="e">
        <f t="shared" si="12"/>
        <v>#N/A</v>
      </c>
      <c r="T33" s="1511" t="s">
        <v>11</v>
      </c>
      <c r="U33" s="1512" t="e">
        <f t="shared" si="13"/>
        <v>#N/A</v>
      </c>
      <c r="V33" s="1511" t="s">
        <v>11</v>
      </c>
      <c r="W33" s="1512" t="e">
        <f t="shared" si="14"/>
        <v>#N/A</v>
      </c>
      <c r="X33" s="1513"/>
      <c r="Y33" s="3495"/>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495"/>
      <c r="Q34" s="1506" t="str">
        <f t="shared" si="11"/>
        <v>建筑结构</v>
      </c>
      <c r="R34" s="1507" t="s">
        <v>11</v>
      </c>
      <c r="S34" s="1508">
        <f t="shared" si="12"/>
        <v>100</v>
      </c>
      <c r="T34" s="1507" t="s">
        <v>11</v>
      </c>
      <c r="U34" s="1508">
        <f t="shared" si="13"/>
        <v>100</v>
      </c>
      <c r="V34" s="1507" t="s">
        <v>11</v>
      </c>
      <c r="W34" s="1508">
        <f t="shared" si="14"/>
        <v>100</v>
      </c>
      <c r="X34" s="1501"/>
      <c r="Y34" s="3495"/>
      <c r="Z34" s="1509" t="str">
        <f t="shared" si="15"/>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495"/>
      <c r="Q35" s="1506" t="str">
        <f t="shared" si="11"/>
        <v>建筑品质</v>
      </c>
      <c r="R35" s="1507" t="s">
        <v>11</v>
      </c>
      <c r="S35" s="1508">
        <f t="shared" si="12"/>
        <v>100</v>
      </c>
      <c r="T35" s="1507" t="s">
        <v>11</v>
      </c>
      <c r="U35" s="1508">
        <f t="shared" si="13"/>
        <v>100</v>
      </c>
      <c r="V35" s="1507" t="s">
        <v>11</v>
      </c>
      <c r="W35" s="1508">
        <f t="shared" si="14"/>
        <v>100</v>
      </c>
      <c r="X35" s="1501"/>
      <c r="Y35" s="3495"/>
      <c r="Z35" s="1509" t="str">
        <f t="shared" si="15"/>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495"/>
      <c r="Q36" s="1506" t="str">
        <f t="shared" si="11"/>
        <v>公共部分装修</v>
      </c>
      <c r="R36" s="1507" t="s">
        <v>11</v>
      </c>
      <c r="S36" s="1508">
        <f t="shared" si="12"/>
        <v>100</v>
      </c>
      <c r="T36" s="1507" t="s">
        <v>11</v>
      </c>
      <c r="U36" s="1508">
        <f t="shared" si="13"/>
        <v>100</v>
      </c>
      <c r="V36" s="1507" t="s">
        <v>11</v>
      </c>
      <c r="W36" s="1508">
        <f t="shared" si="14"/>
        <v>100</v>
      </c>
      <c r="X36" s="1501"/>
      <c r="Y36" s="3495"/>
      <c r="Z36" s="1509" t="str">
        <f t="shared" si="15"/>
        <v>公共部分装修</v>
      </c>
      <c r="AA36" s="1510">
        <f t="shared" si="3"/>
        <v>1</v>
      </c>
      <c r="AB36" s="1510">
        <f t="shared" si="4"/>
        <v>1</v>
      </c>
      <c r="AC36" s="1510">
        <f t="shared" si="5"/>
        <v>1</v>
      </c>
    </row>
    <row r="37" spans="1:29" s="1202" customFormat="1" ht="15">
      <c r="A37" s="593"/>
      <c r="B37" s="520" t="s">
        <v>724</v>
      </c>
      <c r="C37" s="871"/>
      <c r="D37" s="253">
        <v>100</v>
      </c>
      <c r="E37" s="872"/>
      <c r="F37" s="851" t="e">
        <f>LOOKUP(E37,112:112,113:113)-LOOKUP(C37,112:112,113:113)+100</f>
        <v>#N/A</v>
      </c>
      <c r="G37" s="873"/>
      <c r="H37" s="253" t="e">
        <f>LOOKUP(G37,112:112,113:113)-LOOKUP(C37,112:112,113:113)+100</f>
        <v>#N/A</v>
      </c>
      <c r="I37" s="872"/>
      <c r="J37" s="253" t="e">
        <f>LOOKUP(I37,112:112,113:113)-LOOKUP(C37,112:112,113:113)+100</f>
        <v>#N/A</v>
      </c>
      <c r="K37" s="852"/>
      <c r="L37" s="2016"/>
      <c r="M37" s="2017"/>
      <c r="N37" s="2017"/>
      <c r="O37" s="2018"/>
      <c r="P37" s="3495"/>
      <c r="Q37" s="1133" t="str">
        <f t="shared" si="11"/>
        <v>成新度</v>
      </c>
      <c r="R37" s="1502" t="s">
        <v>11</v>
      </c>
      <c r="S37" s="1503" t="e">
        <f t="shared" si="12"/>
        <v>#N/A</v>
      </c>
      <c r="T37" s="1502" t="s">
        <v>11</v>
      </c>
      <c r="U37" s="1503" t="e">
        <f t="shared" si="13"/>
        <v>#N/A</v>
      </c>
      <c r="V37" s="1502" t="s">
        <v>11</v>
      </c>
      <c r="W37" s="1503" t="e">
        <f t="shared" si="14"/>
        <v>#N/A</v>
      </c>
      <c r="X37" s="1504"/>
      <c r="Y37" s="3495"/>
      <c r="Z37" s="1132" t="str">
        <f t="shared" si="15"/>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495" t="s">
        <v>544</v>
      </c>
      <c r="Q38" s="1506" t="str">
        <f t="shared" si="11"/>
        <v>物业管理</v>
      </c>
      <c r="R38" s="1507" t="s">
        <v>11</v>
      </c>
      <c r="S38" s="1508">
        <f t="shared" si="12"/>
        <v>100</v>
      </c>
      <c r="T38" s="1507" t="s">
        <v>11</v>
      </c>
      <c r="U38" s="1508">
        <f t="shared" si="13"/>
        <v>100</v>
      </c>
      <c r="V38" s="1507" t="s">
        <v>11</v>
      </c>
      <c r="W38" s="1508">
        <f t="shared" si="14"/>
        <v>100</v>
      </c>
      <c r="X38" s="1501"/>
      <c r="Y38" s="3495" t="s">
        <v>544</v>
      </c>
      <c r="Z38" s="1509" t="str">
        <f t="shared" si="15"/>
        <v>物业管理</v>
      </c>
      <c r="AA38" s="1510">
        <f t="shared" si="3"/>
        <v>1</v>
      </c>
      <c r="AB38" s="1510">
        <f t="shared" si="4"/>
        <v>1</v>
      </c>
      <c r="AC38" s="1510">
        <f t="shared" si="5"/>
        <v>1</v>
      </c>
    </row>
    <row r="39" spans="1:29" ht="15">
      <c r="A39" s="587"/>
      <c r="B39" s="1808" t="s">
        <v>2546</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495"/>
      <c r="Q39" s="1506" t="str">
        <f t="shared" si="11"/>
        <v>市政基础设施</v>
      </c>
      <c r="R39" s="1507" t="s">
        <v>11</v>
      </c>
      <c r="S39" s="1508">
        <f t="shared" si="12"/>
        <v>100</v>
      </c>
      <c r="T39" s="1507" t="s">
        <v>11</v>
      </c>
      <c r="U39" s="1508">
        <f t="shared" si="13"/>
        <v>100</v>
      </c>
      <c r="V39" s="1507" t="s">
        <v>11</v>
      </c>
      <c r="W39" s="1508">
        <f t="shared" si="14"/>
        <v>100</v>
      </c>
      <c r="X39" s="1501"/>
      <c r="Y39" s="3495"/>
      <c r="Z39" s="1509" t="str">
        <f t="shared" si="15"/>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495"/>
      <c r="Q40" s="1506" t="str">
        <f t="shared" si="11"/>
        <v>房型</v>
      </c>
      <c r="R40" s="1507" t="s">
        <v>11</v>
      </c>
      <c r="S40" s="1508">
        <f t="shared" si="12"/>
        <v>100</v>
      </c>
      <c r="T40" s="1507" t="s">
        <v>11</v>
      </c>
      <c r="U40" s="1508">
        <f t="shared" si="13"/>
        <v>100</v>
      </c>
      <c r="V40" s="1507" t="s">
        <v>11</v>
      </c>
      <c r="W40" s="1508">
        <f t="shared" si="14"/>
        <v>100</v>
      </c>
      <c r="X40" s="1501"/>
      <c r="Y40" s="3495"/>
      <c r="Z40" s="1509" t="str">
        <f t="shared" si="15"/>
        <v>房型</v>
      </c>
      <c r="AA40" s="1510">
        <f t="shared" si="3"/>
        <v>1</v>
      </c>
      <c r="AB40" s="1510">
        <f t="shared" si="4"/>
        <v>1</v>
      </c>
      <c r="AC40" s="1510">
        <f t="shared" si="5"/>
        <v>1</v>
      </c>
    </row>
    <row r="41" spans="1:29" s="1292" customFormat="1" ht="28.5">
      <c r="A41" s="596"/>
      <c r="B41" s="520" t="s">
        <v>727</v>
      </c>
      <c r="C41" s="868"/>
      <c r="D41" s="253">
        <v>100</v>
      </c>
      <c r="E41" s="527"/>
      <c r="F41" s="851">
        <f>SUMIF(120:120,E41,121:121)-SUMIF(120:120,C41,121:121)+100</f>
        <v>100</v>
      </c>
      <c r="G41" s="526"/>
      <c r="H41" s="253">
        <f>SUMIF(120:120,G41,121:121)-SUMIF(120:120,C41,121:121)+100</f>
        <v>100</v>
      </c>
      <c r="I41" s="579"/>
      <c r="J41" s="533">
        <f>SUMIF(120:120,I41,121:121)-SUMIF(120:120,C41,121:121)+100</f>
        <v>100</v>
      </c>
      <c r="K41" s="853"/>
      <c r="L41" s="2021"/>
      <c r="M41" s="2051"/>
      <c r="N41" s="2051"/>
      <c r="O41" s="2024"/>
      <c r="P41" s="3495"/>
      <c r="Q41" s="1535" t="str">
        <f t="shared" si="11"/>
        <v>单套/主力户型建筑面积</v>
      </c>
      <c r="R41" s="1511" t="s">
        <v>11</v>
      </c>
      <c r="S41" s="1512">
        <f t="shared" si="12"/>
        <v>100</v>
      </c>
      <c r="T41" s="1511" t="s">
        <v>11</v>
      </c>
      <c r="U41" s="1512">
        <f t="shared" si="13"/>
        <v>100</v>
      </c>
      <c r="V41" s="1511" t="s">
        <v>11</v>
      </c>
      <c r="W41" s="1512">
        <f t="shared" si="14"/>
        <v>100</v>
      </c>
      <c r="X41" s="1513"/>
      <c r="Y41" s="3495"/>
      <c r="Z41" s="1514" t="str">
        <f t="shared" si="15"/>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495"/>
      <c r="Q42" s="1506" t="str">
        <f t="shared" si="11"/>
        <v>内部装修</v>
      </c>
      <c r="R42" s="1507" t="s">
        <v>11</v>
      </c>
      <c r="S42" s="1508">
        <f t="shared" si="12"/>
        <v>100</v>
      </c>
      <c r="T42" s="1507" t="s">
        <v>11</v>
      </c>
      <c r="U42" s="1508">
        <f t="shared" si="13"/>
        <v>100</v>
      </c>
      <c r="V42" s="1507" t="s">
        <v>11</v>
      </c>
      <c r="W42" s="1508">
        <f t="shared" si="14"/>
        <v>100</v>
      </c>
      <c r="X42" s="1501"/>
      <c r="Y42" s="3495"/>
      <c r="Z42" s="1509" t="str">
        <f t="shared" si="15"/>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495"/>
      <c r="Q43" s="1506" t="str">
        <f t="shared" si="11"/>
        <v>内部装修维护情况</v>
      </c>
      <c r="R43" s="1507" t="s">
        <v>11</v>
      </c>
      <c r="S43" s="1508">
        <f t="shared" si="12"/>
        <v>100</v>
      </c>
      <c r="T43" s="1507" t="s">
        <v>11</v>
      </c>
      <c r="U43" s="1508">
        <f t="shared" si="13"/>
        <v>100</v>
      </c>
      <c r="V43" s="1507" t="s">
        <v>11</v>
      </c>
      <c r="W43" s="1508">
        <f t="shared" si="14"/>
        <v>100</v>
      </c>
      <c r="X43" s="1501"/>
      <c r="Y43" s="3495"/>
      <c r="Z43" s="1509" t="str">
        <f t="shared" si="15"/>
        <v>内部装修维护情况</v>
      </c>
      <c r="AA43" s="1510">
        <f t="shared" si="3"/>
        <v>1</v>
      </c>
      <c r="AB43" s="1510">
        <f t="shared" si="4"/>
        <v>1</v>
      </c>
      <c r="AC43" s="1510">
        <f t="shared" si="5"/>
        <v>1</v>
      </c>
    </row>
    <row r="44" spans="1:29" s="1202" customFormat="1" ht="15">
      <c r="A44" s="593"/>
      <c r="B44" s="865">
        <v>111</v>
      </c>
      <c r="C44" s="868"/>
      <c r="D44" s="253">
        <v>100</v>
      </c>
      <c r="E44" s="868"/>
      <c r="F44" s="851">
        <f>SUMIF(126:126,E44,127:127)-SUMIF(126:126,C44,127:127)+100</f>
        <v>100</v>
      </c>
      <c r="G44" s="868"/>
      <c r="H44" s="253">
        <f>SUMIF(126:126,G44,127:127)-SUMIF(126:126,C44,127:127)+100</f>
        <v>100</v>
      </c>
      <c r="I44" s="868"/>
      <c r="J44" s="253">
        <f>SUMIF(126:126,I44,127:127)-SUMIF(126:126,C44,127:127)+100</f>
        <v>100</v>
      </c>
      <c r="K44" s="853"/>
      <c r="L44" s="2016"/>
      <c r="M44" s="2017"/>
      <c r="N44" s="2017"/>
      <c r="O44" s="2018"/>
      <c r="P44" s="3495"/>
      <c r="Q44" s="1133">
        <f t="shared" si="11"/>
        <v>111</v>
      </c>
      <c r="R44" s="1502" t="s">
        <v>11</v>
      </c>
      <c r="S44" s="1503">
        <f t="shared" si="12"/>
        <v>100</v>
      </c>
      <c r="T44" s="1502" t="s">
        <v>11</v>
      </c>
      <c r="U44" s="1503">
        <f t="shared" si="13"/>
        <v>100</v>
      </c>
      <c r="V44" s="1502" t="s">
        <v>11</v>
      </c>
      <c r="W44" s="1503">
        <f t="shared" si="14"/>
        <v>100</v>
      </c>
      <c r="X44" s="1504"/>
      <c r="Y44" s="3495"/>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495"/>
      <c r="Q45" s="1506">
        <f t="shared" si="11"/>
        <v>111</v>
      </c>
      <c r="R45" s="1507" t="s">
        <v>11</v>
      </c>
      <c r="S45" s="1508">
        <f t="shared" si="12"/>
        <v>100</v>
      </c>
      <c r="T45" s="1507" t="s">
        <v>11</v>
      </c>
      <c r="U45" s="1508">
        <f t="shared" si="13"/>
        <v>100</v>
      </c>
      <c r="V45" s="1507" t="s">
        <v>11</v>
      </c>
      <c r="W45" s="1508">
        <f t="shared" si="14"/>
        <v>100</v>
      </c>
      <c r="X45" s="1501"/>
      <c r="Y45" s="3495"/>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77"/>
      <c r="Q46" s="1506">
        <f t="shared" si="11"/>
        <v>111</v>
      </c>
      <c r="R46" s="1507" t="s">
        <v>10</v>
      </c>
      <c r="S46" s="1508">
        <f t="shared" si="12"/>
        <v>100</v>
      </c>
      <c r="T46" s="1507" t="s">
        <v>10</v>
      </c>
      <c r="U46" s="1508">
        <f t="shared" si="13"/>
        <v>100</v>
      </c>
      <c r="V46" s="1507" t="s">
        <v>10</v>
      </c>
      <c r="W46" s="1508">
        <f t="shared" si="14"/>
        <v>100</v>
      </c>
      <c r="X46" s="1501"/>
      <c r="Y46" s="3577"/>
      <c r="Z46" s="1509">
        <f t="shared" si="15"/>
        <v>111</v>
      </c>
      <c r="AA46" s="1510">
        <f t="shared" si="3"/>
        <v>1</v>
      </c>
      <c r="AB46" s="1510">
        <f t="shared" si="4"/>
        <v>1</v>
      </c>
      <c r="AC46" s="1510">
        <f t="shared" si="5"/>
        <v>1</v>
      </c>
    </row>
    <row r="47" spans="1:29" ht="15">
      <c r="A47" s="600" t="s">
        <v>730</v>
      </c>
      <c r="B47" s="875"/>
      <c r="C47" s="2469" t="s">
        <v>9</v>
      </c>
      <c r="D47" s="2470"/>
      <c r="E47" s="2471"/>
      <c r="F47" s="2472"/>
      <c r="G47" s="2473"/>
      <c r="H47" s="2474"/>
      <c r="I47" s="2471"/>
      <c r="J47" s="2474"/>
      <c r="K47" s="1536"/>
      <c r="L47" s="2025"/>
      <c r="M47" s="2026"/>
      <c r="N47" s="2015"/>
      <c r="O47" s="2026"/>
      <c r="P47" s="3458" t="str">
        <f>A47</f>
        <v>成交单价（元/平方米）</v>
      </c>
      <c r="Q47" s="3458"/>
      <c r="R47" s="3576">
        <f>E47</f>
        <v>0</v>
      </c>
      <c r="S47" s="3576"/>
      <c r="T47" s="3576">
        <f>G47</f>
        <v>0</v>
      </c>
      <c r="U47" s="3576"/>
      <c r="V47" s="3576">
        <f>I47</f>
        <v>0</v>
      </c>
      <c r="W47" s="3576"/>
      <c r="X47" s="1496"/>
      <c r="Y47" s="1515"/>
      <c r="Z47" s="1496"/>
      <c r="AA47" s="1496"/>
      <c r="AB47" s="1496"/>
      <c r="AC47" s="1496"/>
    </row>
    <row r="48" spans="1:29" ht="15.75" thickBot="1">
      <c r="A48" s="608" t="s">
        <v>2741</v>
      </c>
      <c r="B48" s="876"/>
      <c r="C48" s="2475" t="e">
        <f>R49</f>
        <v>#DIV/0!</v>
      </c>
      <c r="D48" s="3013" t="s">
        <v>2969</v>
      </c>
      <c r="E48" s="2476" t="e">
        <f>R48</f>
        <v>#DIV/0!</v>
      </c>
      <c r="F48" s="3014"/>
      <c r="G48" s="2475" t="e">
        <f>T48</f>
        <v>#DIV/0!</v>
      </c>
      <c r="H48" s="3014"/>
      <c r="I48" s="2476" t="e">
        <f>V48</f>
        <v>#DIV/0!</v>
      </c>
      <c r="J48" s="3014"/>
      <c r="K48" s="3022">
        <f>F48+H48+J48</f>
        <v>0</v>
      </c>
      <c r="L48" s="2025"/>
      <c r="M48" s="2026"/>
      <c r="N48" s="2026"/>
      <c r="O48" s="2026"/>
      <c r="P48" s="3458" t="str">
        <f>A48</f>
        <v>比较价格（元/平方米）</v>
      </c>
      <c r="Q48" s="3458"/>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496"/>
      <c r="Y48" s="1496"/>
      <c r="Z48" s="1496"/>
      <c r="AA48" s="1496"/>
      <c r="AB48" s="1496"/>
      <c r="AC48" s="1496"/>
    </row>
    <row r="49" spans="1:29" ht="15.75" thickBot="1">
      <c r="A49" s="612" t="s">
        <v>2904</v>
      </c>
      <c r="B49" s="613"/>
      <c r="C49" s="2477" t="e">
        <f>R49</f>
        <v>#DIV/0!</v>
      </c>
      <c r="D49" s="2477"/>
      <c r="E49" s="2477"/>
      <c r="F49" s="2477"/>
      <c r="G49" s="2477"/>
      <c r="H49" s="2477"/>
      <c r="I49" s="2477"/>
      <c r="J49" s="2477"/>
      <c r="K49" s="1537"/>
      <c r="L49" s="2025"/>
      <c r="M49" s="2026"/>
      <c r="N49" s="2026"/>
      <c r="O49" s="2026"/>
      <c r="P49" s="3455" t="str">
        <f>A49</f>
        <v>估价对象XX用房的比较价格（楼面单价，元/平方米）</v>
      </c>
      <c r="Q49" s="3456"/>
      <c r="R49" s="3575" t="e">
        <f>IF(F1="售价",ROUND(IF(D48="简单平均",AVERAGE(R48:V48),R48*F48+T48*H48+V48*J48),0),ROUND(IF(D48="简单平均",AVERAGE(R48:V48),R48*F48+T48*H48+V48*J48),1))</f>
        <v>#DIV/0!</v>
      </c>
      <c r="S49" s="3575"/>
      <c r="T49" s="3575"/>
      <c r="U49" s="3575"/>
      <c r="V49" s="3575"/>
      <c r="W49" s="3575"/>
      <c r="X49" s="1496"/>
      <c r="Y49" s="1496"/>
      <c r="Z49" s="1496"/>
      <c r="AA49" s="1496"/>
      <c r="AB49" s="1496"/>
      <c r="AC49" s="1496"/>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2021-6</v>
      </c>
      <c r="D58" s="2520">
        <f>EDATE(C58,-1)</f>
        <v>44317</v>
      </c>
      <c r="E58" s="2520">
        <f t="shared" ref="E58:O58" si="16">EDATE(D58,-1)</f>
        <v>44287</v>
      </c>
      <c r="F58" s="2520">
        <f t="shared" si="16"/>
        <v>44256</v>
      </c>
      <c r="G58" s="2520">
        <f t="shared" si="16"/>
        <v>44228</v>
      </c>
      <c r="H58" s="2520">
        <f t="shared" si="16"/>
        <v>44197</v>
      </c>
      <c r="I58" s="2520">
        <f t="shared" si="16"/>
        <v>44166</v>
      </c>
      <c r="J58" s="2520">
        <f t="shared" si="16"/>
        <v>44136</v>
      </c>
      <c r="K58" s="2520">
        <f t="shared" si="16"/>
        <v>44105</v>
      </c>
      <c r="L58" s="2520">
        <f t="shared" si="16"/>
        <v>44075</v>
      </c>
      <c r="M58" s="2520">
        <f t="shared" si="16"/>
        <v>44044</v>
      </c>
      <c r="N58" s="2520">
        <f t="shared" si="16"/>
        <v>44013</v>
      </c>
      <c r="O58" s="2520">
        <f t="shared" si="16"/>
        <v>43983</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2246</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1" t="s">
        <v>715</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464" t="s">
        <v>516</v>
      </c>
      <c r="D4" s="3465"/>
      <c r="E4" s="3498" t="s">
        <v>517</v>
      </c>
      <c r="F4" s="3499"/>
      <c r="G4" s="3464" t="s">
        <v>518</v>
      </c>
      <c r="H4" s="3465"/>
      <c r="I4" s="3464" t="s">
        <v>519</v>
      </c>
      <c r="J4" s="3465"/>
      <c r="K4" s="507" t="s">
        <v>520</v>
      </c>
      <c r="L4" s="2014"/>
      <c r="M4" s="2015"/>
      <c r="N4" s="2015"/>
      <c r="O4" s="2015"/>
      <c r="P4" s="3466" t="s">
        <v>521</v>
      </c>
      <c r="Q4" s="3467"/>
      <c r="R4" s="3472" t="s">
        <v>517</v>
      </c>
      <c r="S4" s="3473"/>
      <c r="T4" s="3472" t="s">
        <v>518</v>
      </c>
      <c r="U4" s="3473"/>
      <c r="V4" s="3459" t="s">
        <v>519</v>
      </c>
      <c r="W4" s="3459"/>
      <c r="X4" s="1501"/>
      <c r="Y4" s="3472" t="s">
        <v>521</v>
      </c>
      <c r="Z4" s="3473"/>
      <c r="AA4" s="3461" t="s">
        <v>517</v>
      </c>
      <c r="AB4" s="3459" t="s">
        <v>518</v>
      </c>
      <c r="AC4" s="3461" t="s">
        <v>519</v>
      </c>
    </row>
    <row r="5" spans="1:29" ht="15">
      <c r="A5" s="508"/>
      <c r="B5" s="509"/>
      <c r="C5" s="3480" t="s">
        <v>2898</v>
      </c>
      <c r="D5" s="3481"/>
      <c r="E5" s="3500" t="s">
        <v>2899</v>
      </c>
      <c r="F5" s="3501"/>
      <c r="G5" s="3480" t="s">
        <v>2900</v>
      </c>
      <c r="H5" s="3481"/>
      <c r="I5" s="3480" t="s">
        <v>2901</v>
      </c>
      <c r="J5" s="3481"/>
      <c r="K5" s="507"/>
      <c r="L5" s="2014"/>
      <c r="M5" s="2015"/>
      <c r="N5" s="2015"/>
      <c r="O5" s="2015"/>
      <c r="P5" s="3468"/>
      <c r="Q5" s="3469"/>
      <c r="R5" s="3474"/>
      <c r="S5" s="3475"/>
      <c r="T5" s="3474"/>
      <c r="U5" s="3475"/>
      <c r="V5" s="3459"/>
      <c r="W5" s="3459"/>
      <c r="X5" s="1501"/>
      <c r="Y5" s="3474"/>
      <c r="Z5" s="3475"/>
      <c r="AA5" s="3462"/>
      <c r="AB5" s="3459"/>
      <c r="AC5" s="3462"/>
    </row>
    <row r="6" spans="1:29" ht="15.75" thickBot="1">
      <c r="A6" s="510"/>
      <c r="B6" s="511"/>
      <c r="C6" s="3478" t="s">
        <v>2902</v>
      </c>
      <c r="D6" s="3479"/>
      <c r="E6" s="3496" t="s">
        <v>2902</v>
      </c>
      <c r="F6" s="3497"/>
      <c r="G6" s="3478" t="s">
        <v>2902</v>
      </c>
      <c r="H6" s="3479"/>
      <c r="I6" s="3478" t="s">
        <v>2902</v>
      </c>
      <c r="J6" s="3479"/>
      <c r="K6" s="507" t="s">
        <v>522</v>
      </c>
      <c r="L6" s="2014"/>
      <c r="M6" s="2015"/>
      <c r="N6" s="2015"/>
      <c r="O6" s="2015"/>
      <c r="P6" s="3470"/>
      <c r="Q6" s="3471"/>
      <c r="R6" s="3474"/>
      <c r="S6" s="3475"/>
      <c r="T6" s="3476"/>
      <c r="U6" s="3477"/>
      <c r="V6" s="3459"/>
      <c r="W6" s="3459"/>
      <c r="X6" s="1501"/>
      <c r="Y6" s="3476"/>
      <c r="Z6" s="3477"/>
      <c r="AA6" s="3463"/>
      <c r="AB6" s="3459"/>
      <c r="AC6" s="3463"/>
    </row>
    <row r="7" spans="1:29" s="1202" customFormat="1" ht="15.75" thickBot="1">
      <c r="A7" s="2628"/>
      <c r="B7" s="2635" t="s">
        <v>523</v>
      </c>
      <c r="C7" s="512">
        <f>'数据-取费表'!B2</f>
        <v>44371</v>
      </c>
      <c r="D7" s="513">
        <v>100</v>
      </c>
      <c r="E7" s="514"/>
      <c r="F7" s="515">
        <f>SUMIF(58:58,YEAR(E7)&amp;"-"&amp;MONTH(E7),59:59)</f>
        <v>0</v>
      </c>
      <c r="G7" s="514"/>
      <c r="H7" s="513">
        <f>SUMIF(58:58,YEAR(G7)&amp;"-"&amp;MONTH(G7),59:59)</f>
        <v>0</v>
      </c>
      <c r="I7" s="514"/>
      <c r="J7" s="513">
        <f>SUMIF(58:58,YEAR(I7)&amp;"-"&amp;MONTH(I7),59:59)</f>
        <v>0</v>
      </c>
      <c r="K7" s="517"/>
      <c r="L7" s="2016"/>
      <c r="M7" s="2017"/>
      <c r="N7" s="2017"/>
      <c r="O7" s="2017"/>
      <c r="P7" s="3489" t="s">
        <v>524</v>
      </c>
      <c r="Q7" s="3491"/>
      <c r="R7" s="1502" t="s">
        <v>8</v>
      </c>
      <c r="S7" s="1503">
        <f t="shared" ref="S7:S15" si="0">F7</f>
        <v>0</v>
      </c>
      <c r="T7" s="1502" t="s">
        <v>8</v>
      </c>
      <c r="U7" s="1503">
        <f t="shared" ref="U7:U15" si="1">H7</f>
        <v>0</v>
      </c>
      <c r="V7" s="1502" t="s">
        <v>8</v>
      </c>
      <c r="W7" s="1503">
        <f t="shared" ref="W7:W15"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489" t="s">
        <v>527</v>
      </c>
      <c r="Q8" s="3490"/>
      <c r="R8" s="1502" t="s">
        <v>8</v>
      </c>
      <c r="S8" s="1503">
        <f t="shared" si="0"/>
        <v>0</v>
      </c>
      <c r="T8" s="1502" t="s">
        <v>8</v>
      </c>
      <c r="U8" s="1503">
        <f t="shared" si="1"/>
        <v>0</v>
      </c>
      <c r="V8" s="1502" t="s">
        <v>8</v>
      </c>
      <c r="W8" s="1503">
        <f t="shared" si="2"/>
        <v>0</v>
      </c>
      <c r="X8" s="1504"/>
      <c r="Y8" s="3489" t="s">
        <v>527</v>
      </c>
      <c r="Z8" s="3490"/>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8"/>
      <c r="F9" s="252">
        <f>SUMIF(63:63,E9,64:64)-SUMIF(63:63,C9,64:64)+100</f>
        <v>100</v>
      </c>
      <c r="G9" s="846"/>
      <c r="H9" s="252">
        <f>SUMIF(63:63,G9,64:64)-SUMIF(63:63,C9,64:64)+100</f>
        <v>100</v>
      </c>
      <c r="I9" s="846"/>
      <c r="J9" s="252">
        <f>SUMIF(63:63,I9,64:64)-SUMIF(63:63,C9,64:64)+100</f>
        <v>100</v>
      </c>
      <c r="K9" s="517"/>
      <c r="L9" s="2016"/>
      <c r="M9" s="2017"/>
      <c r="N9" s="2017"/>
      <c r="O9" s="2018"/>
      <c r="P9" s="3458" t="s">
        <v>529</v>
      </c>
      <c r="Q9" s="1133" t="str">
        <f t="shared" ref="Q9:Q15" si="6">B9</f>
        <v>用途</v>
      </c>
      <c r="R9" s="1502" t="s">
        <v>8</v>
      </c>
      <c r="S9" s="1503">
        <f t="shared" si="0"/>
        <v>100</v>
      </c>
      <c r="T9" s="1502" t="s">
        <v>8</v>
      </c>
      <c r="U9" s="1503">
        <f t="shared" si="1"/>
        <v>100</v>
      </c>
      <c r="V9" s="1502" t="s">
        <v>8</v>
      </c>
      <c r="W9" s="1503">
        <f t="shared" si="2"/>
        <v>100</v>
      </c>
      <c r="X9" s="1504"/>
      <c r="Y9" s="3404"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SUMIF(65:65,E10,66:66)-SUMIF(65:65,C10,66:66)+100</f>
        <v>100</v>
      </c>
      <c r="G10" s="850"/>
      <c r="H10" s="253">
        <f>SUMIF(65:65,G10,66:66)-SUMIF(65:65,C10,66:66)+100</f>
        <v>100</v>
      </c>
      <c r="I10" s="849"/>
      <c r="J10" s="253">
        <f>SUMIF(65:65,I10,66:66)-SUMIF(65:65,C10,66:66)+100</f>
        <v>100</v>
      </c>
      <c r="K10" s="577"/>
      <c r="L10" s="2019"/>
      <c r="M10" s="2058"/>
      <c r="N10" s="2058"/>
      <c r="O10" s="2020"/>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LOOKUP(E11,68:68,69:69)-LOOKUP(C11,68:68,69:69)+100</f>
        <v>#N/A</v>
      </c>
      <c r="G11" s="527"/>
      <c r="H11" s="253" t="e">
        <f>LOOKUP(G11,68:68,69:69)-LOOKUP(C11,68:68,69:69)+100</f>
        <v>#N/A</v>
      </c>
      <c r="I11" s="526"/>
      <c r="J11" s="253" t="e">
        <f>LOOKUP(I11,68:68,69:69)-LOOKUP(C11,68:68,69:69)+100</f>
        <v>#N/A</v>
      </c>
      <c r="K11" s="577"/>
      <c r="L11" s="2021"/>
      <c r="M11" s="2015"/>
      <c r="N11" s="2015"/>
      <c r="O11" s="2022"/>
      <c r="P11" s="3458"/>
      <c r="Q11" s="1133" t="str">
        <f t="shared" si="6"/>
        <v>容积率</v>
      </c>
      <c r="R11" s="1502" t="s">
        <v>8</v>
      </c>
      <c r="S11" s="1503" t="e">
        <f t="shared" si="0"/>
        <v>#N/A</v>
      </c>
      <c r="T11" s="1502" t="s">
        <v>8</v>
      </c>
      <c r="U11" s="1503" t="e">
        <f t="shared" si="1"/>
        <v>#N/A</v>
      </c>
      <c r="V11" s="1502" t="s">
        <v>8</v>
      </c>
      <c r="W11" s="1503" t="e">
        <f t="shared" si="2"/>
        <v>#N/A</v>
      </c>
      <c r="X11" s="1504"/>
      <c r="Y11" s="3404"/>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SUMIF(70:70,E12,71:71)-SUMIF(70:70,C12,71:71)+100</f>
        <v>100</v>
      </c>
      <c r="G12" s="900"/>
      <c r="H12" s="253">
        <f>SUMIF(70:70,G12,71:71)-SUMIF(70:70,C12,71:71)+100</f>
        <v>100</v>
      </c>
      <c r="I12" s="532"/>
      <c r="J12" s="253">
        <f>SUMIF(70:70,I12,71:71)-SUMIF(70:70,C12,71:71)+100</f>
        <v>100</v>
      </c>
      <c r="K12" s="574"/>
      <c r="L12" s="2016"/>
      <c r="M12" s="2017"/>
      <c r="N12" s="2017"/>
      <c r="O12" s="2018"/>
      <c r="P12" s="3458"/>
      <c r="Q12" s="1133">
        <f t="shared" si="6"/>
        <v>111</v>
      </c>
      <c r="R12" s="1502" t="s">
        <v>8</v>
      </c>
      <c r="S12" s="1503">
        <f t="shared" si="0"/>
        <v>100</v>
      </c>
      <c r="T12" s="1502" t="s">
        <v>8</v>
      </c>
      <c r="U12" s="1503">
        <f t="shared" si="1"/>
        <v>100</v>
      </c>
      <c r="V12" s="1502" t="s">
        <v>8</v>
      </c>
      <c r="W12" s="1503">
        <f t="shared" si="2"/>
        <v>100</v>
      </c>
      <c r="X12" s="1504"/>
      <c r="Y12" s="3404"/>
      <c r="Z12" s="1132">
        <f t="shared" si="7"/>
        <v>111</v>
      </c>
      <c r="AA12" s="1505">
        <f>D12/F12</f>
        <v>1</v>
      </c>
      <c r="AB12" s="1505">
        <f>D12/H12</f>
        <v>1</v>
      </c>
      <c r="AC12" s="1505">
        <f>D12/J12</f>
        <v>1</v>
      </c>
    </row>
    <row r="13" spans="1:29" ht="15">
      <c r="A13" s="2633"/>
      <c r="B13" s="2639">
        <v>111</v>
      </c>
      <c r="C13" s="532"/>
      <c r="D13" s="533">
        <v>100</v>
      </c>
      <c r="E13" s="532"/>
      <c r="F13" s="253">
        <f>SUMIF(72:72,E13,73:73)-SUMIF(72:72,C13,73:73)+100</f>
        <v>100</v>
      </c>
      <c r="G13" s="900"/>
      <c r="H13" s="533">
        <f>SUMIF(72:72,G13,73:73)-SUMIF(72:72,C13,73:73)+100</f>
        <v>100</v>
      </c>
      <c r="I13" s="532"/>
      <c r="J13" s="533">
        <f>SUMIF(72:72,I13,73:73)-SUMIF(72:72,C13,73:73)+100</f>
        <v>100</v>
      </c>
      <c r="K13" s="574"/>
      <c r="L13" s="2023"/>
      <c r="M13" s="2015"/>
      <c r="N13" s="2015"/>
      <c r="O13" s="2022"/>
      <c r="P13" s="3458"/>
      <c r="Q13" s="1133">
        <f t="shared" si="6"/>
        <v>111</v>
      </c>
      <c r="R13" s="1502" t="s">
        <v>8</v>
      </c>
      <c r="S13" s="1503">
        <f t="shared" si="0"/>
        <v>100</v>
      </c>
      <c r="T13" s="1502" t="s">
        <v>8</v>
      </c>
      <c r="U13" s="1503">
        <f t="shared" si="1"/>
        <v>100</v>
      </c>
      <c r="V13" s="1502" t="s">
        <v>8</v>
      </c>
      <c r="W13" s="1503">
        <f t="shared" si="2"/>
        <v>100</v>
      </c>
      <c r="X13" s="1504"/>
      <c r="Y13" s="3404"/>
      <c r="Z13" s="1132">
        <f t="shared" si="7"/>
        <v>111</v>
      </c>
      <c r="AA13" s="1505">
        <f t="shared" si="3"/>
        <v>1</v>
      </c>
      <c r="AB13" s="1505">
        <f t="shared" si="4"/>
        <v>1</v>
      </c>
      <c r="AC13" s="1505">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58"/>
      <c r="Q14" s="1133">
        <f t="shared" si="6"/>
        <v>111</v>
      </c>
      <c r="R14" s="1502" t="s">
        <v>8</v>
      </c>
      <c r="S14" s="1503">
        <f t="shared" si="0"/>
        <v>100</v>
      </c>
      <c r="T14" s="1502" t="s">
        <v>8</v>
      </c>
      <c r="U14" s="1503">
        <f t="shared" si="1"/>
        <v>100</v>
      </c>
      <c r="V14" s="1502" t="s">
        <v>8</v>
      </c>
      <c r="W14" s="1503">
        <f t="shared" si="2"/>
        <v>100</v>
      </c>
      <c r="X14" s="1504"/>
      <c r="Y14" s="3404"/>
      <c r="Z14" s="1132">
        <f t="shared" si="7"/>
        <v>111</v>
      </c>
      <c r="AA14" s="1505">
        <f t="shared" si="3"/>
        <v>1</v>
      </c>
      <c r="AB14" s="1505">
        <f t="shared" si="4"/>
        <v>1</v>
      </c>
      <c r="AC14" s="1505">
        <f t="shared" si="5"/>
        <v>1</v>
      </c>
    </row>
    <row r="15" spans="1:29" ht="71.25">
      <c r="A15" s="2626" t="s">
        <v>2735</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492" t="s">
        <v>534</v>
      </c>
      <c r="Q15" s="1506" t="str">
        <f t="shared" si="6"/>
        <v>商业繁华度</v>
      </c>
      <c r="R15" s="1507" t="s">
        <v>8</v>
      </c>
      <c r="S15" s="1508">
        <f t="shared" si="0"/>
        <v>100</v>
      </c>
      <c r="T15" s="1507" t="s">
        <v>8</v>
      </c>
      <c r="U15" s="1508">
        <f t="shared" si="1"/>
        <v>100</v>
      </c>
      <c r="V15" s="1507" t="s">
        <v>8</v>
      </c>
      <c r="W15" s="1508">
        <f t="shared" si="2"/>
        <v>100</v>
      </c>
      <c r="X15" s="1501"/>
      <c r="Y15" s="3492"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493"/>
      <c r="Q16" s="1506"/>
      <c r="R16" s="1507"/>
      <c r="S16" s="1508"/>
      <c r="T16" s="1507"/>
      <c r="U16" s="1508"/>
      <c r="V16" s="1507"/>
      <c r="W16" s="1508"/>
      <c r="X16" s="1501"/>
      <c r="Y16" s="3493"/>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493"/>
      <c r="Q18" s="1506"/>
      <c r="R18" s="1507"/>
      <c r="S18" s="1508"/>
      <c r="T18" s="1507"/>
      <c r="U18" s="1508"/>
      <c r="V18" s="1507"/>
      <c r="W18" s="1508"/>
      <c r="X18" s="1501"/>
      <c r="Y18" s="3493"/>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3"/>
      <c r="M20" s="2015"/>
      <c r="N20" s="2015"/>
      <c r="O20" s="2022"/>
      <c r="P20" s="3493"/>
      <c r="Q20" s="1506"/>
      <c r="R20" s="1507"/>
      <c r="S20" s="1508"/>
      <c r="T20" s="1507"/>
      <c r="U20" s="1508"/>
      <c r="V20" s="1507"/>
      <c r="W20" s="1508"/>
      <c r="X20" s="1501"/>
      <c r="Y20" s="3493"/>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493"/>
      <c r="Q21" s="2428" t="str">
        <f>B21</f>
        <v>基础设施水平</v>
      </c>
      <c r="R21" s="1507" t="s">
        <v>8</v>
      </c>
      <c r="S21" s="1508">
        <f>F21</f>
        <v>100</v>
      </c>
      <c r="T21" s="1507" t="s">
        <v>8</v>
      </c>
      <c r="U21" s="1508">
        <f>H21</f>
        <v>100</v>
      </c>
      <c r="V21" s="1507" t="s">
        <v>8</v>
      </c>
      <c r="W21" s="1508">
        <f>J21</f>
        <v>100</v>
      </c>
      <c r="X21" s="2430"/>
      <c r="Y21" s="3493"/>
      <c r="Z21" s="2429"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5"/>
      <c r="L22" s="2023"/>
      <c r="M22" s="2015"/>
      <c r="N22" s="2015"/>
      <c r="O22" s="2022"/>
      <c r="P22" s="3493"/>
      <c r="Q22" s="2428"/>
      <c r="R22" s="1507"/>
      <c r="S22" s="1508"/>
      <c r="T22" s="1507"/>
      <c r="U22" s="1508"/>
      <c r="V22" s="1507"/>
      <c r="W22" s="1508"/>
      <c r="X22" s="2430"/>
      <c r="Y22" s="3493"/>
      <c r="Z22" s="2429"/>
      <c r="AA22" s="1510">
        <v>1</v>
      </c>
      <c r="AB22" s="1510">
        <v>1</v>
      </c>
      <c r="AC22" s="1510">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493"/>
      <c r="Q23" s="1506" t="str">
        <f>B23</f>
        <v>自然及人文环境</v>
      </c>
      <c r="R23" s="1507" t="s">
        <v>8</v>
      </c>
      <c r="S23" s="1508">
        <f>F23</f>
        <v>100</v>
      </c>
      <c r="T23" s="1507" t="s">
        <v>8</v>
      </c>
      <c r="U23" s="1508">
        <f>H23</f>
        <v>100</v>
      </c>
      <c r="V23" s="1507" t="s">
        <v>8</v>
      </c>
      <c r="W23" s="1508">
        <f>J23</f>
        <v>100</v>
      </c>
      <c r="X23" s="1501"/>
      <c r="Y23" s="3493"/>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3"/>
      <c r="M24" s="2015"/>
      <c r="N24" s="2015"/>
      <c r="O24" s="2022"/>
      <c r="P24" s="3493"/>
      <c r="Q24" s="1506"/>
      <c r="R24" s="1507"/>
      <c r="S24" s="1508"/>
      <c r="T24" s="1507"/>
      <c r="U24" s="1508"/>
      <c r="V24" s="1507"/>
      <c r="W24" s="1508"/>
      <c r="X24" s="1501"/>
      <c r="Y24" s="3493"/>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493"/>
      <c r="Q25" s="1506" t="str">
        <f t="shared" ref="Q25:Q46" si="11">B25</f>
        <v>临街状况</v>
      </c>
      <c r="R25" s="1507" t="s">
        <v>8</v>
      </c>
      <c r="S25" s="1508">
        <f>F25</f>
        <v>100</v>
      </c>
      <c r="T25" s="1507" t="s">
        <v>8</v>
      </c>
      <c r="U25" s="1508">
        <f>H25</f>
        <v>100</v>
      </c>
      <c r="V25" s="1507" t="s">
        <v>8</v>
      </c>
      <c r="W25" s="1508">
        <f>J25</f>
        <v>100</v>
      </c>
      <c r="X25" s="1501"/>
      <c r="Y25" s="3493"/>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493"/>
      <c r="Q26" s="1506" t="str">
        <f t="shared" si="11"/>
        <v>平面位置/可视性</v>
      </c>
      <c r="R26" s="1507" t="s">
        <v>8</v>
      </c>
      <c r="S26" s="1508">
        <f>F26</f>
        <v>100</v>
      </c>
      <c r="T26" s="1507" t="s">
        <v>8</v>
      </c>
      <c r="U26" s="1508">
        <f>H26</f>
        <v>100</v>
      </c>
      <c r="V26" s="1507" t="s">
        <v>8</v>
      </c>
      <c r="W26" s="1508">
        <f>J26</f>
        <v>100</v>
      </c>
      <c r="X26" s="1501"/>
      <c r="Y26" s="3493"/>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493"/>
      <c r="Q27" s="1133" t="str">
        <f t="shared" si="11"/>
        <v>人流量</v>
      </c>
      <c r="R27" s="1502" t="s">
        <v>8</v>
      </c>
      <c r="S27" s="1503">
        <f>F27</f>
        <v>100</v>
      </c>
      <c r="T27" s="1502" t="s">
        <v>8</v>
      </c>
      <c r="U27" s="1503">
        <f>H27</f>
        <v>100</v>
      </c>
      <c r="V27" s="1502" t="s">
        <v>8</v>
      </c>
      <c r="W27" s="1503">
        <f>J27</f>
        <v>100</v>
      </c>
      <c r="X27" s="1504"/>
      <c r="Y27" s="3493"/>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493"/>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3"/>
      <c r="Z28" s="1509" t="str">
        <f t="shared" ref="Z28:Z46" si="15">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493"/>
      <c r="Q29" s="1506">
        <f t="shared" si="11"/>
        <v>111</v>
      </c>
      <c r="R29" s="1507" t="s">
        <v>8</v>
      </c>
      <c r="S29" s="1508">
        <f t="shared" si="12"/>
        <v>100</v>
      </c>
      <c r="T29" s="1507" t="s">
        <v>8</v>
      </c>
      <c r="U29" s="1508">
        <f t="shared" si="13"/>
        <v>100</v>
      </c>
      <c r="V29" s="1507" t="s">
        <v>8</v>
      </c>
      <c r="W29" s="1508">
        <f t="shared" si="14"/>
        <v>100</v>
      </c>
      <c r="X29" s="1501"/>
      <c r="Y29" s="3493"/>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493"/>
      <c r="Q30" s="1506">
        <f t="shared" si="11"/>
        <v>111</v>
      </c>
      <c r="R30" s="1507" t="s">
        <v>8</v>
      </c>
      <c r="S30" s="1508">
        <f t="shared" si="12"/>
        <v>100</v>
      </c>
      <c r="T30" s="1507" t="s">
        <v>8</v>
      </c>
      <c r="U30" s="1508">
        <f t="shared" si="13"/>
        <v>100</v>
      </c>
      <c r="V30" s="1507" t="s">
        <v>8</v>
      </c>
      <c r="W30" s="1508">
        <f t="shared" si="14"/>
        <v>100</v>
      </c>
      <c r="X30" s="1501"/>
      <c r="Y30" s="3493"/>
      <c r="Z30" s="1509">
        <f t="shared" si="15"/>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493"/>
      <c r="Q31" s="1506">
        <f t="shared" si="11"/>
        <v>111</v>
      </c>
      <c r="R31" s="1507" t="s">
        <v>8</v>
      </c>
      <c r="S31" s="1508">
        <f t="shared" si="12"/>
        <v>100</v>
      </c>
      <c r="T31" s="1507" t="s">
        <v>8</v>
      </c>
      <c r="U31" s="1508">
        <f t="shared" si="13"/>
        <v>100</v>
      </c>
      <c r="V31" s="1507" t="s">
        <v>8</v>
      </c>
      <c r="W31" s="1508">
        <f t="shared" si="14"/>
        <v>100</v>
      </c>
      <c r="X31" s="1501"/>
      <c r="Y31" s="3493"/>
      <c r="Z31" s="1509">
        <f t="shared" si="15"/>
        <v>111</v>
      </c>
      <c r="AA31" s="1510">
        <f t="shared" si="3"/>
        <v>1</v>
      </c>
      <c r="AB31" s="1510">
        <f t="shared" si="4"/>
        <v>1</v>
      </c>
      <c r="AC31" s="1510">
        <f t="shared" si="5"/>
        <v>1</v>
      </c>
    </row>
    <row r="32" spans="1:29" ht="15">
      <c r="A32" s="2623" t="s">
        <v>2736</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494" t="s">
        <v>544</v>
      </c>
      <c r="Q32" s="1506" t="str">
        <f t="shared" si="11"/>
        <v>商业类型</v>
      </c>
      <c r="R32" s="1507" t="s">
        <v>8</v>
      </c>
      <c r="S32" s="1508">
        <f t="shared" si="12"/>
        <v>100</v>
      </c>
      <c r="T32" s="1507" t="s">
        <v>8</v>
      </c>
      <c r="U32" s="1508">
        <f t="shared" si="13"/>
        <v>100</v>
      </c>
      <c r="V32" s="1507" t="s">
        <v>8</v>
      </c>
      <c r="W32" s="1508">
        <f t="shared" si="14"/>
        <v>100</v>
      </c>
      <c r="X32" s="1501"/>
      <c r="Y32" s="3495" t="s">
        <v>544</v>
      </c>
      <c r="Z32" s="1509" t="str">
        <f t="shared" si="15"/>
        <v>商业类型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6"/>
      <c r="J33" s="253" t="e">
        <f>LOOKUP(I33,103:103,104:104)-LOOKUP(C33,103:103,104:104)+100</f>
        <v>#N/A</v>
      </c>
      <c r="K33" s="574"/>
      <c r="L33" s="2021"/>
      <c r="M33" s="2051"/>
      <c r="N33" s="2051"/>
      <c r="O33" s="2024"/>
      <c r="P33" s="3495"/>
      <c r="Q33" s="1535" t="str">
        <f t="shared" si="11"/>
        <v>项目建筑规模</v>
      </c>
      <c r="R33" s="1511" t="s">
        <v>8</v>
      </c>
      <c r="S33" s="1512" t="e">
        <f t="shared" si="12"/>
        <v>#N/A</v>
      </c>
      <c r="T33" s="1511" t="s">
        <v>8</v>
      </c>
      <c r="U33" s="1512" t="e">
        <f t="shared" si="13"/>
        <v>#N/A</v>
      </c>
      <c r="V33" s="1511" t="s">
        <v>8</v>
      </c>
      <c r="W33" s="1512" t="e">
        <f t="shared" si="14"/>
        <v>#N/A</v>
      </c>
      <c r="X33" s="1513"/>
      <c r="Y33" s="3495"/>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495"/>
      <c r="Q34" s="1506" t="str">
        <f t="shared" si="11"/>
        <v>建筑结构</v>
      </c>
      <c r="R34" s="1507" t="s">
        <v>8</v>
      </c>
      <c r="S34" s="1508">
        <f t="shared" si="12"/>
        <v>100</v>
      </c>
      <c r="T34" s="1507" t="s">
        <v>8</v>
      </c>
      <c r="U34" s="1508">
        <f t="shared" si="13"/>
        <v>100</v>
      </c>
      <c r="V34" s="1507" t="s">
        <v>8</v>
      </c>
      <c r="W34" s="1508">
        <f t="shared" si="14"/>
        <v>100</v>
      </c>
      <c r="X34" s="1501"/>
      <c r="Y34" s="3495"/>
      <c r="Z34" s="1509" t="str">
        <f t="shared" si="15"/>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495"/>
      <c r="Q35" s="1506" t="str">
        <f t="shared" si="11"/>
        <v>公共部分装修</v>
      </c>
      <c r="R35" s="1507" t="s">
        <v>8</v>
      </c>
      <c r="S35" s="1508">
        <f t="shared" si="12"/>
        <v>100</v>
      </c>
      <c r="T35" s="1507" t="s">
        <v>8</v>
      </c>
      <c r="U35" s="1508">
        <f t="shared" si="13"/>
        <v>100</v>
      </c>
      <c r="V35" s="1507" t="s">
        <v>8</v>
      </c>
      <c r="W35" s="1508">
        <f t="shared" si="14"/>
        <v>100</v>
      </c>
      <c r="X35" s="1501"/>
      <c r="Y35" s="3495"/>
      <c r="Z35" s="1509" t="str">
        <f t="shared" si="15"/>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495"/>
      <c r="Q36" s="1506" t="str">
        <f t="shared" si="11"/>
        <v>成新度</v>
      </c>
      <c r="R36" s="1507" t="s">
        <v>8</v>
      </c>
      <c r="S36" s="1508" t="e">
        <f t="shared" si="12"/>
        <v>#N/A</v>
      </c>
      <c r="T36" s="1507" t="s">
        <v>8</v>
      </c>
      <c r="U36" s="1508" t="e">
        <f t="shared" si="13"/>
        <v>#N/A</v>
      </c>
      <c r="V36" s="1507" t="s">
        <v>8</v>
      </c>
      <c r="W36" s="1508" t="e">
        <f t="shared" si="14"/>
        <v>#N/A</v>
      </c>
      <c r="X36" s="1501"/>
      <c r="Y36" s="3495"/>
      <c r="Z36" s="1509" t="str">
        <f t="shared" si="15"/>
        <v>成新度</v>
      </c>
      <c r="AA36" s="1510" t="e">
        <f t="shared" si="3"/>
        <v>#N/A</v>
      </c>
      <c r="AB36" s="1510" t="e">
        <f t="shared" si="4"/>
        <v>#N/A</v>
      </c>
      <c r="AC36" s="1510" t="e">
        <f t="shared" si="5"/>
        <v>#N/A</v>
      </c>
    </row>
    <row r="37" spans="1:29" s="1202" customFormat="1" ht="15">
      <c r="A37" s="593"/>
      <c r="B37" s="1808" t="s">
        <v>2547</v>
      </c>
      <c r="C37" s="592"/>
      <c r="D37" s="253">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495"/>
      <c r="Q37" s="1133" t="str">
        <f t="shared" si="11"/>
        <v>市政基础设施</v>
      </c>
      <c r="R37" s="1502" t="s">
        <v>8</v>
      </c>
      <c r="S37" s="1503">
        <f t="shared" si="12"/>
        <v>100</v>
      </c>
      <c r="T37" s="1502" t="s">
        <v>8</v>
      </c>
      <c r="U37" s="1503">
        <f t="shared" si="13"/>
        <v>100</v>
      </c>
      <c r="V37" s="1502" t="s">
        <v>8</v>
      </c>
      <c r="W37" s="1503">
        <f t="shared" si="14"/>
        <v>100</v>
      </c>
      <c r="X37" s="1504"/>
      <c r="Y37" s="3495"/>
      <c r="Z37" s="1132" t="str">
        <f t="shared" si="15"/>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495" t="s">
        <v>760</v>
      </c>
      <c r="Q38" s="1506" t="str">
        <f t="shared" si="11"/>
        <v>业态</v>
      </c>
      <c r="R38" s="1507" t="s">
        <v>8</v>
      </c>
      <c r="S38" s="1508">
        <f t="shared" si="12"/>
        <v>100</v>
      </c>
      <c r="T38" s="1507" t="s">
        <v>8</v>
      </c>
      <c r="U38" s="1508">
        <f t="shared" si="13"/>
        <v>100</v>
      </c>
      <c r="V38" s="1507" t="s">
        <v>8</v>
      </c>
      <c r="W38" s="1508">
        <f t="shared" si="14"/>
        <v>100</v>
      </c>
      <c r="X38" s="1501"/>
      <c r="Y38" s="3495" t="s">
        <v>760</v>
      </c>
      <c r="Z38" s="1509" t="str">
        <f t="shared" si="15"/>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5"/>
      <c r="Q39" s="1506" t="str">
        <f t="shared" si="11"/>
        <v>层高</v>
      </c>
      <c r="R39" s="1507" t="s">
        <v>8</v>
      </c>
      <c r="S39" s="1508">
        <f t="shared" si="12"/>
        <v>100</v>
      </c>
      <c r="T39" s="1507" t="s">
        <v>8</v>
      </c>
      <c r="U39" s="1508">
        <f t="shared" si="13"/>
        <v>100</v>
      </c>
      <c r="V39" s="1507" t="s">
        <v>8</v>
      </c>
      <c r="W39" s="1508">
        <f t="shared" si="14"/>
        <v>100</v>
      </c>
      <c r="X39" s="1501"/>
      <c r="Y39" s="3495"/>
      <c r="Z39" s="1509" t="str">
        <f t="shared" si="15"/>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495"/>
      <c r="Q40" s="1506" t="str">
        <f t="shared" si="11"/>
        <v>单套建筑面积</v>
      </c>
      <c r="R40" s="1507" t="s">
        <v>8</v>
      </c>
      <c r="S40" s="1508">
        <f t="shared" si="12"/>
        <v>100</v>
      </c>
      <c r="T40" s="1507" t="s">
        <v>8</v>
      </c>
      <c r="U40" s="1508">
        <f t="shared" si="13"/>
        <v>100</v>
      </c>
      <c r="V40" s="1507" t="s">
        <v>8</v>
      </c>
      <c r="W40" s="1508">
        <f t="shared" si="14"/>
        <v>100</v>
      </c>
      <c r="X40" s="1501"/>
      <c r="Y40" s="3495"/>
      <c r="Z40" s="1509" t="str">
        <f t="shared" si="15"/>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495"/>
      <c r="Q41" s="1535" t="str">
        <f t="shared" si="11"/>
        <v>进深比</v>
      </c>
      <c r="R41" s="1511" t="s">
        <v>8</v>
      </c>
      <c r="S41" s="1512">
        <f t="shared" si="12"/>
        <v>100</v>
      </c>
      <c r="T41" s="1511" t="s">
        <v>8</v>
      </c>
      <c r="U41" s="1512">
        <f t="shared" si="13"/>
        <v>100</v>
      </c>
      <c r="V41" s="1511" t="s">
        <v>8</v>
      </c>
      <c r="W41" s="1512">
        <f t="shared" si="14"/>
        <v>100</v>
      </c>
      <c r="X41" s="1513"/>
      <c r="Y41" s="3495"/>
      <c r="Z41" s="1514" t="str">
        <f t="shared" si="15"/>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495"/>
      <c r="Q42" s="1506" t="str">
        <f t="shared" si="11"/>
        <v>内部装修</v>
      </c>
      <c r="R42" s="1507" t="s">
        <v>8</v>
      </c>
      <c r="S42" s="1508">
        <f t="shared" si="12"/>
        <v>100</v>
      </c>
      <c r="T42" s="1507" t="s">
        <v>8</v>
      </c>
      <c r="U42" s="1508">
        <f t="shared" si="13"/>
        <v>100</v>
      </c>
      <c r="V42" s="1507" t="s">
        <v>8</v>
      </c>
      <c r="W42" s="1508">
        <f t="shared" si="14"/>
        <v>100</v>
      </c>
      <c r="X42" s="1501"/>
      <c r="Y42" s="3495"/>
      <c r="Z42" s="1509" t="str">
        <f t="shared" si="15"/>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495"/>
      <c r="Q43" s="1506" t="str">
        <f t="shared" si="11"/>
        <v>内部装修维护情况</v>
      </c>
      <c r="R43" s="1507" t="s">
        <v>8</v>
      </c>
      <c r="S43" s="1508">
        <f t="shared" si="12"/>
        <v>100</v>
      </c>
      <c r="T43" s="1507" t="s">
        <v>8</v>
      </c>
      <c r="U43" s="1508">
        <f t="shared" si="13"/>
        <v>100</v>
      </c>
      <c r="V43" s="1507" t="s">
        <v>8</v>
      </c>
      <c r="W43" s="1508">
        <f t="shared" si="14"/>
        <v>100</v>
      </c>
      <c r="X43" s="1501"/>
      <c r="Y43" s="3495"/>
      <c r="Z43" s="1509" t="str">
        <f t="shared" si="15"/>
        <v>内部装修维护情况</v>
      </c>
      <c r="AA43" s="1510">
        <f t="shared" si="3"/>
        <v>1</v>
      </c>
      <c r="AB43" s="1510">
        <f t="shared" si="4"/>
        <v>1</v>
      </c>
      <c r="AC43" s="1510">
        <f t="shared" si="5"/>
        <v>1</v>
      </c>
    </row>
    <row r="44" spans="1:29" s="1202" customFormat="1" ht="15">
      <c r="A44" s="593"/>
      <c r="B44" s="865">
        <v>111</v>
      </c>
      <c r="C44" s="868"/>
      <c r="D44" s="253">
        <v>100</v>
      </c>
      <c r="E44" s="532"/>
      <c r="F44" s="851">
        <f>SUMIF(126:126,E44,127:127)-SUMIF(126:126,C44,127:127)+100</f>
        <v>100</v>
      </c>
      <c r="G44" s="532"/>
      <c r="H44" s="253">
        <f>SUMIF(126:126,G44,127:127)-SUMIF(126:126,C44,127:127)+100</f>
        <v>100</v>
      </c>
      <c r="I44" s="532"/>
      <c r="J44" s="253">
        <f>SUMIF(126:126,I44,127:127)-SUMIF(126:126,C44,127:127)+100</f>
        <v>100</v>
      </c>
      <c r="K44" s="574"/>
      <c r="L44" s="2016"/>
      <c r="M44" s="2017"/>
      <c r="N44" s="2017"/>
      <c r="O44" s="2018"/>
      <c r="P44" s="3495"/>
      <c r="Q44" s="1133">
        <f t="shared" si="11"/>
        <v>111</v>
      </c>
      <c r="R44" s="1502" t="s">
        <v>8</v>
      </c>
      <c r="S44" s="1503">
        <f t="shared" si="12"/>
        <v>100</v>
      </c>
      <c r="T44" s="1502" t="s">
        <v>8</v>
      </c>
      <c r="U44" s="1503">
        <f t="shared" si="13"/>
        <v>100</v>
      </c>
      <c r="V44" s="1502" t="s">
        <v>8</v>
      </c>
      <c r="W44" s="1503">
        <f t="shared" si="14"/>
        <v>100</v>
      </c>
      <c r="X44" s="1504"/>
      <c r="Y44" s="3495"/>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495"/>
      <c r="Q45" s="1506">
        <f t="shared" si="11"/>
        <v>111</v>
      </c>
      <c r="R45" s="1507" t="s">
        <v>8</v>
      </c>
      <c r="S45" s="1508">
        <f t="shared" si="12"/>
        <v>100</v>
      </c>
      <c r="T45" s="1507" t="s">
        <v>8</v>
      </c>
      <c r="U45" s="1508">
        <f t="shared" si="13"/>
        <v>100</v>
      </c>
      <c r="V45" s="1507" t="s">
        <v>8</v>
      </c>
      <c r="W45" s="1508">
        <f t="shared" si="14"/>
        <v>100</v>
      </c>
      <c r="X45" s="1501"/>
      <c r="Y45" s="3495"/>
      <c r="Z45" s="1509">
        <f t="shared" si="15"/>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577"/>
      <c r="Q46" s="1506">
        <f t="shared" si="11"/>
        <v>111</v>
      </c>
      <c r="R46" s="1507" t="s">
        <v>8</v>
      </c>
      <c r="S46" s="1508">
        <f t="shared" si="12"/>
        <v>100</v>
      </c>
      <c r="T46" s="1507" t="s">
        <v>8</v>
      </c>
      <c r="U46" s="1508">
        <f t="shared" si="13"/>
        <v>100</v>
      </c>
      <c r="V46" s="1507" t="s">
        <v>8</v>
      </c>
      <c r="W46" s="1508">
        <f t="shared" si="14"/>
        <v>100</v>
      </c>
      <c r="X46" s="1501"/>
      <c r="Y46" s="3577"/>
      <c r="Z46" s="1509">
        <f t="shared" si="15"/>
        <v>111</v>
      </c>
      <c r="AA46" s="1510">
        <f t="shared" si="3"/>
        <v>1</v>
      </c>
      <c r="AB46" s="1510">
        <f t="shared" si="4"/>
        <v>1</v>
      </c>
      <c r="AC46" s="1510">
        <f t="shared" si="5"/>
        <v>1</v>
      </c>
    </row>
    <row r="47" spans="1:29" ht="15">
      <c r="A47" s="600" t="s">
        <v>730</v>
      </c>
      <c r="B47" s="875"/>
      <c r="C47" s="2469" t="s">
        <v>1</v>
      </c>
      <c r="D47" s="2470"/>
      <c r="E47" s="2471"/>
      <c r="F47" s="2472"/>
      <c r="G47" s="2473"/>
      <c r="H47" s="2474"/>
      <c r="I47" s="2471"/>
      <c r="J47" s="2474"/>
      <c r="K47" s="1540"/>
      <c r="L47" s="2025"/>
      <c r="M47" s="2026"/>
      <c r="N47" s="2015"/>
      <c r="O47" s="2026"/>
      <c r="P47" s="3458" t="str">
        <f>A47</f>
        <v>成交单价（元/平方米）</v>
      </c>
      <c r="Q47" s="3458"/>
      <c r="R47" s="3576">
        <f>E47</f>
        <v>0</v>
      </c>
      <c r="S47" s="3576"/>
      <c r="T47" s="3576">
        <f>G47</f>
        <v>0</v>
      </c>
      <c r="U47" s="3576"/>
      <c r="V47" s="3576">
        <f>I47</f>
        <v>0</v>
      </c>
      <c r="W47" s="3576"/>
      <c r="X47" s="1496"/>
      <c r="Y47" s="1515"/>
      <c r="Z47" s="1496"/>
      <c r="AA47" s="1496"/>
      <c r="AB47" s="1496"/>
      <c r="AC47" s="1496"/>
    </row>
    <row r="48" spans="1:29" ht="15.75" thickBot="1">
      <c r="A48" s="608" t="s">
        <v>2741</v>
      </c>
      <c r="B48" s="876"/>
      <c r="C48" s="2475" t="e">
        <f>R49</f>
        <v>#DIV/0!</v>
      </c>
      <c r="D48" s="3013" t="s">
        <v>2969</v>
      </c>
      <c r="E48" s="2476" t="e">
        <f>R48</f>
        <v>#DIV/0!</v>
      </c>
      <c r="F48" s="3014"/>
      <c r="G48" s="2475" t="e">
        <f>T48</f>
        <v>#DIV/0!</v>
      </c>
      <c r="H48" s="3014"/>
      <c r="I48" s="2476" t="e">
        <f>V48</f>
        <v>#DIV/0!</v>
      </c>
      <c r="J48" s="3014"/>
      <c r="K48" s="3022">
        <f>F48+H48+J48</f>
        <v>0</v>
      </c>
      <c r="L48" s="2025"/>
      <c r="M48" s="2026"/>
      <c r="N48" s="2015"/>
      <c r="O48" s="2026"/>
      <c r="P48" s="3458" t="str">
        <f>A48</f>
        <v>比较价格（元/平方米）</v>
      </c>
      <c r="Q48" s="3458"/>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496"/>
      <c r="Y48" s="1496"/>
      <c r="Z48" s="1496"/>
      <c r="AA48" s="1496"/>
      <c r="AB48" s="1496"/>
      <c r="AC48" s="1496"/>
    </row>
    <row r="49" spans="1:29" ht="15.75" thickBot="1">
      <c r="A49" s="612" t="s">
        <v>2904</v>
      </c>
      <c r="B49" s="613"/>
      <c r="C49" s="2477" t="e">
        <f>R49</f>
        <v>#DIV/0!</v>
      </c>
      <c r="D49" s="2477"/>
      <c r="E49" s="2477"/>
      <c r="F49" s="2477"/>
      <c r="G49" s="2477"/>
      <c r="H49" s="2477"/>
      <c r="I49" s="2477"/>
      <c r="J49" s="2477"/>
      <c r="K49" s="1541"/>
      <c r="L49" s="2025"/>
      <c r="M49" s="2026"/>
      <c r="N49" s="2015"/>
      <c r="O49" s="2026"/>
      <c r="P49" s="3455" t="str">
        <f>A49</f>
        <v>估价对象XX用房的比较价格（楼面单价，元/平方米）</v>
      </c>
      <c r="Q49" s="3456"/>
      <c r="R49" s="3575" t="e">
        <f>IF(F1="售价",ROUND(IF(D48="简单平均",AVERAGE(R48:V48),R48*F48+T48*H48+V48*J48),0),ROUND(IF(D48="简单平均",AVERAGE(R48:V48),R48*F48+T48*H48+V48*J48),1))</f>
        <v>#DIV/0!</v>
      </c>
      <c r="S49" s="3575"/>
      <c r="T49" s="3575"/>
      <c r="U49" s="3575"/>
      <c r="V49" s="3575"/>
      <c r="W49" s="3575"/>
      <c r="X49" s="1496"/>
      <c r="Y49" s="1496"/>
      <c r="Z49" s="1496"/>
      <c r="AA49" s="1496"/>
      <c r="AB49" s="1496"/>
      <c r="AC49" s="1496"/>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2021-6</v>
      </c>
      <c r="D58" s="2520">
        <f>EDATE(C58,-1)</f>
        <v>44317</v>
      </c>
      <c r="E58" s="2520">
        <f t="shared" ref="E58:O58" si="16">EDATE(D58,-1)</f>
        <v>44287</v>
      </c>
      <c r="F58" s="2520">
        <f t="shared" si="16"/>
        <v>44256</v>
      </c>
      <c r="G58" s="2520">
        <f t="shared" si="16"/>
        <v>44228</v>
      </c>
      <c r="H58" s="2520">
        <f t="shared" si="16"/>
        <v>44197</v>
      </c>
      <c r="I58" s="2520">
        <f t="shared" si="16"/>
        <v>44166</v>
      </c>
      <c r="J58" s="2520">
        <f t="shared" si="16"/>
        <v>44136</v>
      </c>
      <c r="K58" s="2520">
        <f t="shared" si="16"/>
        <v>44105</v>
      </c>
      <c r="L58" s="2520">
        <f t="shared" si="16"/>
        <v>44075</v>
      </c>
      <c r="M58" s="2520">
        <f t="shared" si="16"/>
        <v>44044</v>
      </c>
      <c r="N58" s="2520">
        <f t="shared" si="16"/>
        <v>44013</v>
      </c>
      <c r="O58" s="2520">
        <f t="shared" si="16"/>
        <v>43983</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2538</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1" t="s">
        <v>715</v>
      </c>
      <c r="H1" s="499"/>
      <c r="I1" s="499"/>
      <c r="J1" s="499"/>
      <c r="K1" s="500"/>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5" t="s">
        <v>515</v>
      </c>
      <c r="B4" s="506"/>
      <c r="C4" s="3464" t="s">
        <v>516</v>
      </c>
      <c r="D4" s="3465"/>
      <c r="E4" s="3498" t="s">
        <v>517</v>
      </c>
      <c r="F4" s="3499"/>
      <c r="G4" s="3464" t="s">
        <v>518</v>
      </c>
      <c r="H4" s="3465"/>
      <c r="I4" s="3464" t="s">
        <v>519</v>
      </c>
      <c r="J4" s="3465"/>
      <c r="K4" s="507" t="s">
        <v>520</v>
      </c>
      <c r="L4" s="2014"/>
      <c r="M4" s="2015"/>
      <c r="N4" s="2015"/>
      <c r="O4" s="2015"/>
      <c r="P4" s="3579" t="s">
        <v>521</v>
      </c>
      <c r="Q4" s="3467"/>
      <c r="R4" s="3472" t="s">
        <v>517</v>
      </c>
      <c r="S4" s="3473"/>
      <c r="T4" s="3472" t="s">
        <v>518</v>
      </c>
      <c r="U4" s="3473"/>
      <c r="V4" s="3459" t="s">
        <v>519</v>
      </c>
      <c r="W4" s="3459"/>
      <c r="X4" s="1501"/>
      <c r="Y4" s="3472" t="s">
        <v>521</v>
      </c>
      <c r="Z4" s="3473"/>
      <c r="AA4" s="3461" t="s">
        <v>517</v>
      </c>
      <c r="AB4" s="3461" t="s">
        <v>518</v>
      </c>
      <c r="AC4" s="3461" t="s">
        <v>519</v>
      </c>
    </row>
    <row r="5" spans="1:29" ht="15">
      <c r="A5" s="508"/>
      <c r="B5" s="509"/>
      <c r="C5" s="3480" t="s">
        <v>2898</v>
      </c>
      <c r="D5" s="3481"/>
      <c r="E5" s="3500" t="s">
        <v>2899</v>
      </c>
      <c r="F5" s="3501"/>
      <c r="G5" s="3480" t="s">
        <v>2900</v>
      </c>
      <c r="H5" s="3481"/>
      <c r="I5" s="3480" t="s">
        <v>2901</v>
      </c>
      <c r="J5" s="3481"/>
      <c r="K5" s="507"/>
      <c r="L5" s="2014"/>
      <c r="M5" s="2015"/>
      <c r="N5" s="2015"/>
      <c r="O5" s="2015"/>
      <c r="P5" s="3580"/>
      <c r="Q5" s="3469"/>
      <c r="R5" s="3474"/>
      <c r="S5" s="3475"/>
      <c r="T5" s="3474"/>
      <c r="U5" s="3475"/>
      <c r="V5" s="3459"/>
      <c r="W5" s="3459"/>
      <c r="X5" s="1501"/>
      <c r="Y5" s="3474"/>
      <c r="Z5" s="3475"/>
      <c r="AA5" s="3462"/>
      <c r="AB5" s="3462"/>
      <c r="AC5" s="3462"/>
    </row>
    <row r="6" spans="1:29" ht="15.75" thickBot="1">
      <c r="A6" s="510"/>
      <c r="B6" s="511"/>
      <c r="C6" s="3478" t="s">
        <v>2902</v>
      </c>
      <c r="D6" s="3479"/>
      <c r="E6" s="3496" t="s">
        <v>2902</v>
      </c>
      <c r="F6" s="3497"/>
      <c r="G6" s="3478" t="s">
        <v>2902</v>
      </c>
      <c r="H6" s="3479"/>
      <c r="I6" s="3478" t="s">
        <v>2902</v>
      </c>
      <c r="J6" s="3479"/>
      <c r="K6" s="507" t="s">
        <v>522</v>
      </c>
      <c r="L6" s="2014"/>
      <c r="M6" s="2015"/>
      <c r="N6" s="2015"/>
      <c r="O6" s="2015"/>
      <c r="P6" s="3581"/>
      <c r="Q6" s="3471"/>
      <c r="R6" s="3474"/>
      <c r="S6" s="3475"/>
      <c r="T6" s="3476"/>
      <c r="U6" s="3477"/>
      <c r="V6" s="3459"/>
      <c r="W6" s="3459"/>
      <c r="X6" s="1501"/>
      <c r="Y6" s="3476"/>
      <c r="Z6" s="3477"/>
      <c r="AA6" s="3463"/>
      <c r="AB6" s="3463"/>
      <c r="AC6" s="3463"/>
    </row>
    <row r="7" spans="1:29" s="1202" customFormat="1" ht="15.75" thickBot="1">
      <c r="A7" s="2628"/>
      <c r="B7" s="2635" t="s">
        <v>523</v>
      </c>
      <c r="C7" s="512">
        <f>'数据-取费表'!B2</f>
        <v>44371</v>
      </c>
      <c r="D7" s="513">
        <v>100</v>
      </c>
      <c r="E7" s="514"/>
      <c r="F7" s="515">
        <f>SUMIF(59:59,YEAR(E7)&amp;"-"&amp;MONTH(E7),60:60)</f>
        <v>0</v>
      </c>
      <c r="G7" s="514"/>
      <c r="H7" s="513">
        <f>SUMIF(59:59,YEAR(G7)&amp;"-"&amp;MONTH(G7),60:60)</f>
        <v>0</v>
      </c>
      <c r="I7" s="514"/>
      <c r="J7" s="513">
        <f>SUMIF(59:59,YEAR(I7)&amp;"-"&amp;MONTH(I7),60:60)</f>
        <v>0</v>
      </c>
      <c r="K7" s="517"/>
      <c r="L7" s="2016"/>
      <c r="M7" s="2017"/>
      <c r="N7" s="2017"/>
      <c r="O7" s="2017"/>
      <c r="P7" s="3491" t="s">
        <v>524</v>
      </c>
      <c r="Q7" s="3491"/>
      <c r="R7" s="1502" t="s">
        <v>8</v>
      </c>
      <c r="S7" s="1503">
        <f t="shared" ref="S7:S15" si="0">F7</f>
        <v>0</v>
      </c>
      <c r="T7" s="1502" t="s">
        <v>8</v>
      </c>
      <c r="U7" s="1503">
        <f t="shared" ref="U7:U15" si="1">H7</f>
        <v>0</v>
      </c>
      <c r="V7" s="1502" t="s">
        <v>8</v>
      </c>
      <c r="W7" s="1503">
        <f t="shared" ref="W7:W15"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491" t="s">
        <v>527</v>
      </c>
      <c r="Q8" s="3490"/>
      <c r="R8" s="1502" t="s">
        <v>8</v>
      </c>
      <c r="S8" s="1503">
        <f t="shared" si="0"/>
        <v>0</v>
      </c>
      <c r="T8" s="1502" t="s">
        <v>8</v>
      </c>
      <c r="U8" s="1503">
        <f t="shared" si="1"/>
        <v>0</v>
      </c>
      <c r="V8" s="1502" t="s">
        <v>8</v>
      </c>
      <c r="W8" s="1503">
        <f t="shared" si="2"/>
        <v>0</v>
      </c>
      <c r="X8" s="1504"/>
      <c r="Y8" s="3489" t="s">
        <v>527</v>
      </c>
      <c r="Z8" s="3490"/>
      <c r="AA8" s="1505" t="e">
        <f t="shared" ref="AA8:AA47" si="3">D8/F8</f>
        <v>#DIV/0!</v>
      </c>
      <c r="AB8" s="1505" t="e">
        <f t="shared" ref="AB8:AB47" si="4">D8/H8</f>
        <v>#DIV/0!</v>
      </c>
      <c r="AC8" s="1505" t="e">
        <f t="shared" ref="AC8:AC47" si="5">D8/J8</f>
        <v>#DIV/0!</v>
      </c>
    </row>
    <row r="9" spans="1:29" s="1202" customFormat="1" ht="15">
      <c r="A9" s="2630"/>
      <c r="B9" s="2637" t="s">
        <v>2737</v>
      </c>
      <c r="C9" s="845"/>
      <c r="D9" s="252">
        <v>100</v>
      </c>
      <c r="E9" s="848"/>
      <c r="F9" s="252">
        <f>SUMIF(64:64,E9,65:65)-SUMIF(64:64,C9,65:65)+100</f>
        <v>100</v>
      </c>
      <c r="G9" s="846"/>
      <c r="H9" s="252">
        <f>SUMIF(64:64,G9,65:65)-SUMIF(64:64,C9,65:65)+100</f>
        <v>100</v>
      </c>
      <c r="I9" s="846"/>
      <c r="J9" s="252">
        <f>SUMIF(64:64,I9,65:65)-SUMIF(64:64,C9,65:65)+100</f>
        <v>100</v>
      </c>
      <c r="K9" s="517"/>
      <c r="L9" s="2016"/>
      <c r="M9" s="2017"/>
      <c r="N9" s="2017"/>
      <c r="O9" s="2017"/>
      <c r="P9" s="3458" t="s">
        <v>529</v>
      </c>
      <c r="Q9" s="1133" t="str">
        <f t="shared" ref="Q9:Q15" si="6">B9</f>
        <v>用途</v>
      </c>
      <c r="R9" s="1502" t="s">
        <v>8</v>
      </c>
      <c r="S9" s="1503">
        <f t="shared" si="0"/>
        <v>100</v>
      </c>
      <c r="T9" s="1502" t="s">
        <v>8</v>
      </c>
      <c r="U9" s="1503">
        <f t="shared" si="1"/>
        <v>100</v>
      </c>
      <c r="V9" s="1502" t="s">
        <v>8</v>
      </c>
      <c r="W9" s="1503">
        <f t="shared" si="2"/>
        <v>100</v>
      </c>
      <c r="X9" s="1504"/>
      <c r="Y9" s="3404"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SUMIF(66:66,E10,67:67)-SUMIF(66:66,C10,67:67)+100</f>
        <v>100</v>
      </c>
      <c r="G10" s="850"/>
      <c r="H10" s="253">
        <f>SUMIF(66:66,G10,67:67)-SUMIF(66:66,C10,67:67)+100</f>
        <v>100</v>
      </c>
      <c r="I10" s="849"/>
      <c r="J10" s="253">
        <f>SUMIF(66:66,I10,67:67)-SUMIF(66:66,C10,67:67)+100</f>
        <v>100</v>
      </c>
      <c r="K10" s="577"/>
      <c r="L10" s="2019"/>
      <c r="M10" s="2058"/>
      <c r="N10" s="2058"/>
      <c r="O10" s="2058"/>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LOOKUP(E11,69:69,70:70)-LOOKUP(C11,69:69,70:70)+100</f>
        <v>#N/A</v>
      </c>
      <c r="G11" s="527"/>
      <c r="H11" s="253" t="e">
        <f>LOOKUP(G11,69:69,70:70)-LOOKUP(C11,69:69,70:70)+100</f>
        <v>#N/A</v>
      </c>
      <c r="I11" s="526"/>
      <c r="J11" s="253" t="e">
        <f>LOOKUP(I11,69:69,70:70)-LOOKUP(C11,69:69,70:70)+100</f>
        <v>#N/A</v>
      </c>
      <c r="K11" s="577"/>
      <c r="L11" s="2021"/>
      <c r="M11" s="2015"/>
      <c r="N11" s="2015"/>
      <c r="O11" s="2015"/>
      <c r="P11" s="3458"/>
      <c r="Q11" s="1133" t="str">
        <f t="shared" si="6"/>
        <v>容积率</v>
      </c>
      <c r="R11" s="1502" t="s">
        <v>8</v>
      </c>
      <c r="S11" s="1503" t="e">
        <f t="shared" si="0"/>
        <v>#N/A</v>
      </c>
      <c r="T11" s="1502" t="s">
        <v>8</v>
      </c>
      <c r="U11" s="1503" t="e">
        <f t="shared" si="1"/>
        <v>#N/A</v>
      </c>
      <c r="V11" s="1502" t="s">
        <v>8</v>
      </c>
      <c r="W11" s="1503" t="e">
        <f t="shared" si="2"/>
        <v>#N/A</v>
      </c>
      <c r="X11" s="1504"/>
      <c r="Y11" s="3404"/>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253">
        <f>SUMIF(71:71,E12,72:72)-SUMIF(71:71,C12,72:72)+100</f>
        <v>100</v>
      </c>
      <c r="G12" s="898"/>
      <c r="H12" s="253">
        <f>SUMIF(71:71,G12,72:72)-SUMIF(71:71,C12,72:72)+100</f>
        <v>100</v>
      </c>
      <c r="I12" s="521"/>
      <c r="J12" s="253">
        <f>SUMIF(71:71,I12,72:72)-SUMIF(71:71,C12,72:72)+100</f>
        <v>100</v>
      </c>
      <c r="K12" s="574"/>
      <c r="L12" s="2016"/>
      <c r="M12" s="2017"/>
      <c r="N12" s="2017"/>
      <c r="O12" s="2017"/>
      <c r="P12" s="3458"/>
      <c r="Q12" s="1133">
        <f t="shared" si="6"/>
        <v>111</v>
      </c>
      <c r="R12" s="1502" t="s">
        <v>8</v>
      </c>
      <c r="S12" s="1503">
        <f t="shared" si="0"/>
        <v>100</v>
      </c>
      <c r="T12" s="1502" t="s">
        <v>8</v>
      </c>
      <c r="U12" s="1503">
        <f t="shared" si="1"/>
        <v>100</v>
      </c>
      <c r="V12" s="1502" t="s">
        <v>8</v>
      </c>
      <c r="W12" s="1503">
        <f t="shared" si="2"/>
        <v>100</v>
      </c>
      <c r="X12" s="1504"/>
      <c r="Y12" s="3404"/>
      <c r="Z12" s="1132">
        <f t="shared" si="7"/>
        <v>111</v>
      </c>
      <c r="AA12" s="1505">
        <f>D12/F12</f>
        <v>1</v>
      </c>
      <c r="AB12" s="1505">
        <f>D12/H12</f>
        <v>1</v>
      </c>
      <c r="AC12" s="1505">
        <f>D12/J12</f>
        <v>1</v>
      </c>
    </row>
    <row r="13" spans="1:29" ht="15">
      <c r="A13" s="2633"/>
      <c r="B13" s="2639">
        <v>111</v>
      </c>
      <c r="C13" s="532"/>
      <c r="D13" s="533">
        <v>100</v>
      </c>
      <c r="E13" s="521"/>
      <c r="F13" s="253">
        <f>SUMIF(73:73,E13,74:74)-SUMIF(73:73,C13,74:74)+100</f>
        <v>100</v>
      </c>
      <c r="G13" s="898"/>
      <c r="H13" s="533">
        <f>SUMIF(73:73,G13,74:74)-SUMIF(73:73,C13,74:74)+100</f>
        <v>100</v>
      </c>
      <c r="I13" s="521"/>
      <c r="J13" s="533">
        <f>SUMIF(73:73,I13,74:74)-SUMIF(73:73,C13,74:74)+100</f>
        <v>100</v>
      </c>
      <c r="K13" s="574"/>
      <c r="L13" s="2023"/>
      <c r="M13" s="2015"/>
      <c r="N13" s="2015"/>
      <c r="O13" s="2015"/>
      <c r="P13" s="3458"/>
      <c r="Q13" s="1133">
        <f t="shared" si="6"/>
        <v>111</v>
      </c>
      <c r="R13" s="1502" t="s">
        <v>8</v>
      </c>
      <c r="S13" s="1503">
        <f t="shared" si="0"/>
        <v>100</v>
      </c>
      <c r="T13" s="1502" t="s">
        <v>8</v>
      </c>
      <c r="U13" s="1503">
        <f t="shared" si="1"/>
        <v>100</v>
      </c>
      <c r="V13" s="1502" t="s">
        <v>8</v>
      </c>
      <c r="W13" s="1503">
        <f t="shared" si="2"/>
        <v>100</v>
      </c>
      <c r="X13" s="1504"/>
      <c r="Y13" s="3404"/>
      <c r="Z13" s="1132">
        <f t="shared" si="7"/>
        <v>111</v>
      </c>
      <c r="AA13" s="1505">
        <f t="shared" si="3"/>
        <v>1</v>
      </c>
      <c r="AB13" s="1505">
        <f t="shared" si="4"/>
        <v>1</v>
      </c>
      <c r="AC13" s="1505">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58"/>
      <c r="Q14" s="1133">
        <f t="shared" si="6"/>
        <v>111</v>
      </c>
      <c r="R14" s="1502" t="s">
        <v>8</v>
      </c>
      <c r="S14" s="1503">
        <f t="shared" si="0"/>
        <v>100</v>
      </c>
      <c r="T14" s="1502" t="s">
        <v>8</v>
      </c>
      <c r="U14" s="1503">
        <f t="shared" si="1"/>
        <v>100</v>
      </c>
      <c r="V14" s="1502" t="s">
        <v>8</v>
      </c>
      <c r="W14" s="1503">
        <f t="shared" si="2"/>
        <v>100</v>
      </c>
      <c r="X14" s="1504"/>
      <c r="Y14" s="3404"/>
      <c r="Z14" s="1132">
        <f t="shared" si="7"/>
        <v>111</v>
      </c>
      <c r="AA14" s="1505">
        <f t="shared" si="3"/>
        <v>1</v>
      </c>
      <c r="AB14" s="1505">
        <f t="shared" si="4"/>
        <v>1</v>
      </c>
      <c r="AC14" s="1505">
        <f t="shared" si="5"/>
        <v>1</v>
      </c>
    </row>
    <row r="15" spans="1:29" ht="71.25">
      <c r="A15" s="2626" t="s">
        <v>2735</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492" t="s">
        <v>534</v>
      </c>
      <c r="Q15" s="1506" t="str">
        <f t="shared" si="6"/>
        <v>办公集聚程度</v>
      </c>
      <c r="R15" s="1507" t="s">
        <v>8</v>
      </c>
      <c r="S15" s="1508">
        <f t="shared" si="0"/>
        <v>100</v>
      </c>
      <c r="T15" s="1507" t="s">
        <v>8</v>
      </c>
      <c r="U15" s="1508">
        <f t="shared" si="1"/>
        <v>100</v>
      </c>
      <c r="V15" s="1507" t="s">
        <v>8</v>
      </c>
      <c r="W15" s="1508">
        <f t="shared" si="2"/>
        <v>100</v>
      </c>
      <c r="X15" s="1501"/>
      <c r="Y15" s="3492"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3"/>
      <c r="M16" s="2015"/>
      <c r="N16" s="2015"/>
      <c r="O16" s="2015"/>
      <c r="P16" s="3493"/>
      <c r="Q16" s="1506"/>
      <c r="R16" s="1507"/>
      <c r="S16" s="1508"/>
      <c r="T16" s="1507"/>
      <c r="U16" s="1508"/>
      <c r="V16" s="1507"/>
      <c r="W16" s="1508"/>
      <c r="X16" s="1501"/>
      <c r="Y16" s="3493"/>
      <c r="Z16" s="1509"/>
      <c r="AA16" s="1510">
        <v>1</v>
      </c>
      <c r="AB16" s="1510">
        <v>1</v>
      </c>
      <c r="AC16" s="1510">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3"/>
      <c r="M18" s="2015"/>
      <c r="N18" s="2015"/>
      <c r="O18" s="2015"/>
      <c r="P18" s="3493"/>
      <c r="Q18" s="1506"/>
      <c r="R18" s="1507"/>
      <c r="S18" s="1508"/>
      <c r="T18" s="1507"/>
      <c r="U18" s="1508"/>
      <c r="V18" s="1507"/>
      <c r="W18" s="1508"/>
      <c r="X18" s="1501"/>
      <c r="Y18" s="3493"/>
      <c r="Z18" s="1509"/>
      <c r="AA18" s="1510">
        <v>1</v>
      </c>
      <c r="AB18" s="1510">
        <v>1</v>
      </c>
      <c r="AC18" s="1510">
        <v>1</v>
      </c>
    </row>
    <row r="19" spans="1:29" ht="42.75">
      <c r="A19" s="525"/>
      <c r="B19" s="2446" t="s">
        <v>2528</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3"/>
      <c r="M20" s="2015"/>
      <c r="N20" s="2015"/>
      <c r="O20" s="2015"/>
      <c r="P20" s="3493"/>
      <c r="Q20" s="1506"/>
      <c r="R20" s="1507"/>
      <c r="S20" s="1508"/>
      <c r="T20" s="1507"/>
      <c r="U20" s="1508"/>
      <c r="V20" s="1507"/>
      <c r="W20" s="1508"/>
      <c r="X20" s="1501"/>
      <c r="Y20" s="3493"/>
      <c r="Z20" s="1509"/>
      <c r="AA20" s="1510">
        <v>1</v>
      </c>
      <c r="AB20" s="1510">
        <v>1</v>
      </c>
      <c r="AC20" s="1510">
        <v>1</v>
      </c>
    </row>
    <row r="21" spans="1:29" ht="28.5">
      <c r="A21" s="525"/>
      <c r="B21" s="2434" t="s">
        <v>2540</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493"/>
      <c r="Q21" s="2428" t="str">
        <f>B21</f>
        <v>基础设施水平</v>
      </c>
      <c r="R21" s="1507" t="s">
        <v>8</v>
      </c>
      <c r="S21" s="1508">
        <f>F21</f>
        <v>100</v>
      </c>
      <c r="T21" s="1507" t="s">
        <v>8</v>
      </c>
      <c r="U21" s="1508">
        <f>H21</f>
        <v>100</v>
      </c>
      <c r="V21" s="1507" t="s">
        <v>8</v>
      </c>
      <c r="W21" s="1508">
        <f>J21</f>
        <v>100</v>
      </c>
      <c r="X21" s="2430"/>
      <c r="Y21" s="3493"/>
      <c r="Z21" s="2429" t="str">
        <f>Q21</f>
        <v>基础设施水平</v>
      </c>
      <c r="AA21" s="1510">
        <f t="shared" ref="AA21" si="8">D21/F21</f>
        <v>1</v>
      </c>
      <c r="AB21" s="1510">
        <f t="shared" ref="AB21" si="9">D21/H21</f>
        <v>1</v>
      </c>
      <c r="AC21" s="1510">
        <f t="shared" ref="AC21" si="10">D21/J21</f>
        <v>1</v>
      </c>
    </row>
    <row r="22" spans="1:29" ht="15">
      <c r="A22" s="525"/>
      <c r="B22" s="571"/>
      <c r="C22" s="560"/>
      <c r="D22" s="548"/>
      <c r="E22" s="569"/>
      <c r="F22" s="548"/>
      <c r="G22" s="547"/>
      <c r="H22" s="548"/>
      <c r="I22" s="547"/>
      <c r="J22" s="548"/>
      <c r="K22" s="2445"/>
      <c r="L22" s="2023"/>
      <c r="M22" s="2015"/>
      <c r="N22" s="2015"/>
      <c r="O22" s="2015"/>
      <c r="P22" s="3493"/>
      <c r="Q22" s="2428"/>
      <c r="R22" s="1507"/>
      <c r="S22" s="1508"/>
      <c r="T22" s="1507"/>
      <c r="U22" s="1508"/>
      <c r="V22" s="1507"/>
      <c r="W22" s="1508"/>
      <c r="X22" s="2430"/>
      <c r="Y22" s="3493"/>
      <c r="Z22" s="2429"/>
      <c r="AA22" s="1510">
        <v>1</v>
      </c>
      <c r="AB22" s="1510">
        <v>1</v>
      </c>
      <c r="AC22" s="1510">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493"/>
      <c r="Q23" s="1506" t="str">
        <f>B23</f>
        <v>环境质量</v>
      </c>
      <c r="R23" s="1507" t="s">
        <v>8</v>
      </c>
      <c r="S23" s="1508">
        <f>F23</f>
        <v>100</v>
      </c>
      <c r="T23" s="1507" t="s">
        <v>8</v>
      </c>
      <c r="U23" s="1508">
        <f>H23</f>
        <v>100</v>
      </c>
      <c r="V23" s="1507" t="s">
        <v>8</v>
      </c>
      <c r="W23" s="1508">
        <f>J23</f>
        <v>100</v>
      </c>
      <c r="X23" s="1501"/>
      <c r="Y23" s="3493"/>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3"/>
      <c r="M24" s="2015"/>
      <c r="N24" s="2015"/>
      <c r="O24" s="2015"/>
      <c r="P24" s="3493"/>
      <c r="Q24" s="1506"/>
      <c r="R24" s="1507"/>
      <c r="S24" s="1508"/>
      <c r="T24" s="1507"/>
      <c r="U24" s="1508"/>
      <c r="V24" s="1507"/>
      <c r="W24" s="1508"/>
      <c r="X24" s="1501"/>
      <c r="Y24" s="3493"/>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493"/>
      <c r="Q25" s="1506" t="str">
        <f>B25</f>
        <v>毗邻道路的类型与等级</v>
      </c>
      <c r="R25" s="1507" t="s">
        <v>8</v>
      </c>
      <c r="S25" s="1508">
        <f>F25</f>
        <v>100</v>
      </c>
      <c r="T25" s="1507" t="s">
        <v>8</v>
      </c>
      <c r="U25" s="1508">
        <f>H25</f>
        <v>100</v>
      </c>
      <c r="V25" s="1507" t="s">
        <v>8</v>
      </c>
      <c r="W25" s="1508">
        <f>J25</f>
        <v>100</v>
      </c>
      <c r="X25" s="1501"/>
      <c r="Y25" s="3493"/>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3"/>
      <c r="M26" s="2015"/>
      <c r="N26" s="2015"/>
      <c r="O26" s="2015"/>
      <c r="P26" s="3493"/>
      <c r="Q26" s="1506"/>
      <c r="R26" s="1507"/>
      <c r="S26" s="1508"/>
      <c r="T26" s="1507"/>
      <c r="U26" s="1508"/>
      <c r="V26" s="1507"/>
      <c r="W26" s="1508"/>
      <c r="X26" s="1501"/>
      <c r="Y26" s="3493"/>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493"/>
      <c r="Q27" s="1506" t="str">
        <f t="shared" ref="Q27:Q47" si="11">B27</f>
        <v>楼层</v>
      </c>
      <c r="R27" s="1507" t="s">
        <v>8</v>
      </c>
      <c r="S27" s="1508">
        <f>F27</f>
        <v>100</v>
      </c>
      <c r="T27" s="1507" t="s">
        <v>8</v>
      </c>
      <c r="U27" s="1508">
        <f>H27</f>
        <v>100</v>
      </c>
      <c r="V27" s="1507" t="s">
        <v>8</v>
      </c>
      <c r="W27" s="1508">
        <f>J27</f>
        <v>100</v>
      </c>
      <c r="X27" s="1501"/>
      <c r="Y27" s="3493"/>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493"/>
      <c r="Q28" s="1133" t="str">
        <f t="shared" si="11"/>
        <v>朝向</v>
      </c>
      <c r="R28" s="1502" t="s">
        <v>8</v>
      </c>
      <c r="S28" s="1503">
        <f>F28</f>
        <v>100</v>
      </c>
      <c r="T28" s="1502" t="s">
        <v>8</v>
      </c>
      <c r="U28" s="1503">
        <f>H28</f>
        <v>100</v>
      </c>
      <c r="V28" s="1502" t="s">
        <v>8</v>
      </c>
      <c r="W28" s="1503">
        <f>J28</f>
        <v>100</v>
      </c>
      <c r="X28" s="1504"/>
      <c r="Y28" s="3493"/>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493"/>
      <c r="Q29" s="1506">
        <f t="shared" si="11"/>
        <v>111</v>
      </c>
      <c r="R29" s="1507" t="s">
        <v>8</v>
      </c>
      <c r="S29" s="1508">
        <f t="shared" ref="S29:S47" si="12">F29</f>
        <v>100</v>
      </c>
      <c r="T29" s="1507" t="s">
        <v>8</v>
      </c>
      <c r="U29" s="1508">
        <f t="shared" ref="U29:U47" si="13">H29</f>
        <v>100</v>
      </c>
      <c r="V29" s="1507" t="s">
        <v>8</v>
      </c>
      <c r="W29" s="1508">
        <f t="shared" ref="W29:W47" si="14">J29</f>
        <v>100</v>
      </c>
      <c r="X29" s="1501"/>
      <c r="Y29" s="3493"/>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493"/>
      <c r="Q30" s="1506">
        <f t="shared" si="11"/>
        <v>111</v>
      </c>
      <c r="R30" s="1507" t="s">
        <v>8</v>
      </c>
      <c r="S30" s="1508">
        <f t="shared" si="12"/>
        <v>100</v>
      </c>
      <c r="T30" s="1507" t="s">
        <v>8</v>
      </c>
      <c r="U30" s="1508">
        <f t="shared" si="13"/>
        <v>100</v>
      </c>
      <c r="V30" s="1507" t="s">
        <v>8</v>
      </c>
      <c r="W30" s="1508">
        <f t="shared" si="14"/>
        <v>100</v>
      </c>
      <c r="X30" s="1501"/>
      <c r="Y30" s="3493"/>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493"/>
      <c r="Q31" s="1506">
        <f t="shared" si="11"/>
        <v>111</v>
      </c>
      <c r="R31" s="1507" t="s">
        <v>8</v>
      </c>
      <c r="S31" s="1508">
        <f t="shared" si="12"/>
        <v>100</v>
      </c>
      <c r="T31" s="1507" t="s">
        <v>8</v>
      </c>
      <c r="U31" s="1508">
        <f t="shared" si="13"/>
        <v>100</v>
      </c>
      <c r="V31" s="1507" t="s">
        <v>8</v>
      </c>
      <c r="W31" s="1508">
        <f t="shared" si="14"/>
        <v>100</v>
      </c>
      <c r="X31" s="1501"/>
      <c r="Y31" s="3493"/>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493"/>
      <c r="Q32" s="1506">
        <f t="shared" si="11"/>
        <v>111</v>
      </c>
      <c r="R32" s="1507" t="s">
        <v>8</v>
      </c>
      <c r="S32" s="1508">
        <f t="shared" si="12"/>
        <v>100</v>
      </c>
      <c r="T32" s="1507" t="s">
        <v>8</v>
      </c>
      <c r="U32" s="1508">
        <f t="shared" si="13"/>
        <v>100</v>
      </c>
      <c r="V32" s="1507" t="s">
        <v>8</v>
      </c>
      <c r="W32" s="1508">
        <f t="shared" si="14"/>
        <v>100</v>
      </c>
      <c r="X32" s="1501"/>
      <c r="Y32" s="3493"/>
      <c r="Z32" s="1509">
        <f t="shared" si="15"/>
        <v>111</v>
      </c>
      <c r="AA32" s="1510">
        <f t="shared" si="3"/>
        <v>1</v>
      </c>
      <c r="AB32" s="1510">
        <f t="shared" si="4"/>
        <v>1</v>
      </c>
      <c r="AC32" s="1510">
        <f t="shared" si="5"/>
        <v>1</v>
      </c>
    </row>
    <row r="33" spans="1:29" ht="15">
      <c r="A33" s="2623" t="s">
        <v>2736</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494" t="s">
        <v>544</v>
      </c>
      <c r="Q33" s="1506" t="str">
        <f t="shared" si="11"/>
        <v>建筑类型</v>
      </c>
      <c r="R33" s="1507" t="s">
        <v>8</v>
      </c>
      <c r="S33" s="1508">
        <f t="shared" si="12"/>
        <v>100</v>
      </c>
      <c r="T33" s="1507" t="s">
        <v>8</v>
      </c>
      <c r="U33" s="1508">
        <f t="shared" si="13"/>
        <v>100</v>
      </c>
      <c r="V33" s="1507" t="s">
        <v>8</v>
      </c>
      <c r="W33" s="1508">
        <f t="shared" si="14"/>
        <v>100</v>
      </c>
      <c r="X33" s="1501"/>
      <c r="Y33" s="3495" t="s">
        <v>544</v>
      </c>
      <c r="Z33" s="1509" t="str">
        <f t="shared" si="15"/>
        <v>建筑类型</v>
      </c>
      <c r="AA33" s="1510">
        <f t="shared" si="3"/>
        <v>1</v>
      </c>
      <c r="AB33" s="1510">
        <f t="shared" si="4"/>
        <v>1</v>
      </c>
      <c r="AC33" s="1510">
        <f t="shared" si="5"/>
        <v>1</v>
      </c>
    </row>
    <row r="34" spans="1:29" s="1292" customFormat="1" ht="15">
      <c r="A34" s="596"/>
      <c r="B34" s="520" t="s">
        <v>720</v>
      </c>
      <c r="C34" s="868"/>
      <c r="D34" s="253">
        <v>100</v>
      </c>
      <c r="E34" s="527"/>
      <c r="F34" s="851" t="e">
        <f>LOOKUP(E34,104:104,105:105)-LOOKUP(C34,104:104,105:105)+100</f>
        <v>#N/A</v>
      </c>
      <c r="G34" s="526"/>
      <c r="H34" s="253" t="e">
        <f>LOOKUP(G34,104:104,105:105)-LOOKUP(C34,104:104,105:105)+100</f>
        <v>#N/A</v>
      </c>
      <c r="I34" s="526"/>
      <c r="J34" s="253" t="e">
        <f>LOOKUP(I34,104:104,105:105)-LOOKUP(C34,104:104,105:105)+100</f>
        <v>#N/A</v>
      </c>
      <c r="K34" s="574"/>
      <c r="L34" s="2021"/>
      <c r="M34" s="2051"/>
      <c r="N34" s="2051"/>
      <c r="O34" s="2051"/>
      <c r="P34" s="3495"/>
      <c r="Q34" s="1535" t="str">
        <f t="shared" si="11"/>
        <v>项目建筑规模</v>
      </c>
      <c r="R34" s="1511" t="s">
        <v>8</v>
      </c>
      <c r="S34" s="1512" t="e">
        <f t="shared" si="12"/>
        <v>#N/A</v>
      </c>
      <c r="T34" s="1511" t="s">
        <v>8</v>
      </c>
      <c r="U34" s="1512" t="e">
        <f t="shared" si="13"/>
        <v>#N/A</v>
      </c>
      <c r="V34" s="1511" t="s">
        <v>8</v>
      </c>
      <c r="W34" s="1512" t="e">
        <f t="shared" si="14"/>
        <v>#N/A</v>
      </c>
      <c r="X34" s="1513"/>
      <c r="Y34" s="3495"/>
      <c r="Z34" s="1514" t="str">
        <f t="shared" si="15"/>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495"/>
      <c r="Q35" s="1506" t="str">
        <f t="shared" si="11"/>
        <v>建筑结构</v>
      </c>
      <c r="R35" s="1507" t="s">
        <v>8</v>
      </c>
      <c r="S35" s="1508">
        <f t="shared" si="12"/>
        <v>100</v>
      </c>
      <c r="T35" s="1507" t="s">
        <v>8</v>
      </c>
      <c r="U35" s="1508">
        <f t="shared" si="13"/>
        <v>100</v>
      </c>
      <c r="V35" s="1507" t="s">
        <v>8</v>
      </c>
      <c r="W35" s="1508">
        <f t="shared" si="14"/>
        <v>100</v>
      </c>
      <c r="X35" s="1501"/>
      <c r="Y35" s="3495"/>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495"/>
      <c r="Q36" s="1506" t="str">
        <f t="shared" si="11"/>
        <v>公共部分装修</v>
      </c>
      <c r="R36" s="1507" t="s">
        <v>8</v>
      </c>
      <c r="S36" s="1508">
        <f t="shared" si="12"/>
        <v>100</v>
      </c>
      <c r="T36" s="1507" t="s">
        <v>8</v>
      </c>
      <c r="U36" s="1508">
        <f t="shared" si="13"/>
        <v>100</v>
      </c>
      <c r="V36" s="1507" t="s">
        <v>8</v>
      </c>
      <c r="W36" s="1508">
        <f t="shared" si="14"/>
        <v>100</v>
      </c>
      <c r="X36" s="1501"/>
      <c r="Y36" s="3495"/>
      <c r="Z36" s="1509" t="str">
        <f t="shared" si="15"/>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495"/>
      <c r="Q37" s="1506" t="str">
        <f t="shared" si="11"/>
        <v>成新度</v>
      </c>
      <c r="R37" s="1507" t="s">
        <v>8</v>
      </c>
      <c r="S37" s="1508" t="e">
        <f t="shared" si="12"/>
        <v>#N/A</v>
      </c>
      <c r="T37" s="1507" t="s">
        <v>8</v>
      </c>
      <c r="U37" s="1508" t="e">
        <f t="shared" si="13"/>
        <v>#N/A</v>
      </c>
      <c r="V37" s="1507" t="s">
        <v>8</v>
      </c>
      <c r="W37" s="1508" t="e">
        <f t="shared" si="14"/>
        <v>#N/A</v>
      </c>
      <c r="X37" s="1501"/>
      <c r="Y37" s="3495"/>
      <c r="Z37" s="1509" t="str">
        <f t="shared" si="15"/>
        <v>成新度</v>
      </c>
      <c r="AA37" s="1510" t="e">
        <f t="shared" si="3"/>
        <v>#N/A</v>
      </c>
      <c r="AB37" s="1510" t="e">
        <f t="shared" si="4"/>
        <v>#N/A</v>
      </c>
      <c r="AC37" s="1510" t="e">
        <f t="shared" si="5"/>
        <v>#N/A</v>
      </c>
    </row>
    <row r="38" spans="1:29" s="1202" customFormat="1" ht="15">
      <c r="A38" s="593"/>
      <c r="B38" s="520" t="s">
        <v>775</v>
      </c>
      <c r="C38" s="567"/>
      <c r="D38" s="253">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495"/>
      <c r="Q38" s="1133" t="str">
        <f t="shared" si="11"/>
        <v>写字楼等级</v>
      </c>
      <c r="R38" s="1502" t="s">
        <v>8</v>
      </c>
      <c r="S38" s="1503">
        <f t="shared" si="12"/>
        <v>100</v>
      </c>
      <c r="T38" s="1502" t="s">
        <v>8</v>
      </c>
      <c r="U38" s="1503">
        <f t="shared" si="13"/>
        <v>100</v>
      </c>
      <c r="V38" s="1502" t="s">
        <v>8</v>
      </c>
      <c r="W38" s="1503">
        <f t="shared" si="14"/>
        <v>100</v>
      </c>
      <c r="X38" s="1504"/>
      <c r="Y38" s="3495"/>
      <c r="Z38" s="1132" t="str">
        <f t="shared" si="15"/>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495" t="s">
        <v>544</v>
      </c>
      <c r="Q39" s="1506" t="str">
        <f t="shared" si="11"/>
        <v>物业管理</v>
      </c>
      <c r="R39" s="1507" t="s">
        <v>8</v>
      </c>
      <c r="S39" s="1508">
        <f t="shared" si="12"/>
        <v>100</v>
      </c>
      <c r="T39" s="1507" t="s">
        <v>8</v>
      </c>
      <c r="U39" s="1508">
        <f t="shared" si="13"/>
        <v>100</v>
      </c>
      <c r="V39" s="1507" t="s">
        <v>8</v>
      </c>
      <c r="W39" s="1508">
        <f t="shared" si="14"/>
        <v>100</v>
      </c>
      <c r="X39" s="1501"/>
      <c r="Y39" s="3495" t="s">
        <v>544</v>
      </c>
      <c r="Z39" s="1509" t="str">
        <f t="shared" si="15"/>
        <v>物业管理</v>
      </c>
      <c r="AA39" s="1510">
        <f t="shared" si="3"/>
        <v>1</v>
      </c>
      <c r="AB39" s="1510">
        <f t="shared" si="4"/>
        <v>1</v>
      </c>
      <c r="AC39" s="1510">
        <f t="shared" si="5"/>
        <v>1</v>
      </c>
    </row>
    <row r="40" spans="1:29" ht="15">
      <c r="A40" s="587"/>
      <c r="B40" s="1808" t="s">
        <v>2547</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495"/>
      <c r="Q40" s="1506" t="str">
        <f t="shared" si="11"/>
        <v>市政基础设施</v>
      </c>
      <c r="R40" s="1507" t="s">
        <v>8</v>
      </c>
      <c r="S40" s="1508">
        <f t="shared" si="12"/>
        <v>100</v>
      </c>
      <c r="T40" s="1507" t="s">
        <v>8</v>
      </c>
      <c r="U40" s="1508">
        <f t="shared" si="13"/>
        <v>100</v>
      </c>
      <c r="V40" s="1507" t="s">
        <v>8</v>
      </c>
      <c r="W40" s="1508">
        <f t="shared" si="14"/>
        <v>100</v>
      </c>
      <c r="X40" s="1501"/>
      <c r="Y40" s="3495"/>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495"/>
      <c r="Q41" s="1506" t="str">
        <f t="shared" si="11"/>
        <v>层高</v>
      </c>
      <c r="R41" s="1507" t="s">
        <v>8</v>
      </c>
      <c r="S41" s="1508">
        <f t="shared" si="12"/>
        <v>100</v>
      </c>
      <c r="T41" s="1507" t="s">
        <v>8</v>
      </c>
      <c r="U41" s="1508">
        <f t="shared" si="13"/>
        <v>100</v>
      </c>
      <c r="V41" s="1507" t="s">
        <v>8</v>
      </c>
      <c r="W41" s="1508">
        <f t="shared" si="14"/>
        <v>100</v>
      </c>
      <c r="X41" s="1501"/>
      <c r="Y41" s="3495"/>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495"/>
      <c r="Q42" s="1535" t="str">
        <f t="shared" si="11"/>
        <v>单套建筑面积</v>
      </c>
      <c r="R42" s="1511" t="s">
        <v>8</v>
      </c>
      <c r="S42" s="1512">
        <f t="shared" si="12"/>
        <v>100</v>
      </c>
      <c r="T42" s="1511" t="s">
        <v>8</v>
      </c>
      <c r="U42" s="1512">
        <f t="shared" si="13"/>
        <v>100</v>
      </c>
      <c r="V42" s="1511" t="s">
        <v>8</v>
      </c>
      <c r="W42" s="1512">
        <f t="shared" si="14"/>
        <v>100</v>
      </c>
      <c r="X42" s="1513"/>
      <c r="Y42" s="3495"/>
      <c r="Z42" s="1514" t="str">
        <f t="shared" si="15"/>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495"/>
      <c r="Q43" s="1506" t="str">
        <f t="shared" si="11"/>
        <v>内部装修</v>
      </c>
      <c r="R43" s="1507" t="s">
        <v>8</v>
      </c>
      <c r="S43" s="1508">
        <f t="shared" si="12"/>
        <v>100</v>
      </c>
      <c r="T43" s="1507" t="s">
        <v>8</v>
      </c>
      <c r="U43" s="1508">
        <f t="shared" si="13"/>
        <v>100</v>
      </c>
      <c r="V43" s="1507" t="s">
        <v>8</v>
      </c>
      <c r="W43" s="1508">
        <f t="shared" si="14"/>
        <v>100</v>
      </c>
      <c r="X43" s="1501"/>
      <c r="Y43" s="3495"/>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495"/>
      <c r="Q44" s="1506" t="str">
        <f t="shared" si="11"/>
        <v>内部装修维护情况</v>
      </c>
      <c r="R44" s="1507" t="s">
        <v>8</v>
      </c>
      <c r="S44" s="1508">
        <f t="shared" si="12"/>
        <v>100</v>
      </c>
      <c r="T44" s="1507" t="s">
        <v>8</v>
      </c>
      <c r="U44" s="1508">
        <f t="shared" si="13"/>
        <v>100</v>
      </c>
      <c r="V44" s="1507" t="s">
        <v>8</v>
      </c>
      <c r="W44" s="1508">
        <f t="shared" si="14"/>
        <v>100</v>
      </c>
      <c r="X44" s="1501"/>
      <c r="Y44" s="3495"/>
      <c r="Z44" s="1509" t="str">
        <f t="shared" si="15"/>
        <v>内部装修维护情况</v>
      </c>
      <c r="AA44" s="1510">
        <f t="shared" si="3"/>
        <v>1</v>
      </c>
      <c r="AB44" s="1510">
        <f t="shared" si="4"/>
        <v>1</v>
      </c>
      <c r="AC44" s="1510">
        <f t="shared" si="5"/>
        <v>1</v>
      </c>
    </row>
    <row r="45" spans="1:29" s="1202" customFormat="1" ht="15">
      <c r="A45" s="593"/>
      <c r="B45" s="865">
        <v>111</v>
      </c>
      <c r="C45" s="868"/>
      <c r="D45" s="253">
        <v>100</v>
      </c>
      <c r="E45" s="521"/>
      <c r="F45" s="851">
        <f>SUMIF(127:127,E45,128:128)-SUMIF(127:127,C45,128:128)+100</f>
        <v>100</v>
      </c>
      <c r="G45" s="521"/>
      <c r="H45" s="253">
        <f>SUMIF(127:127,G45,128:128)-SUMIF(127:127,C45,128:128)+100</f>
        <v>100</v>
      </c>
      <c r="I45" s="521"/>
      <c r="J45" s="253">
        <f>SUMIF(127:127,I45,128:128)-SUMIF(127:127,C45,128:128)+100</f>
        <v>100</v>
      </c>
      <c r="K45" s="574"/>
      <c r="L45" s="2016"/>
      <c r="M45" s="2017"/>
      <c r="N45" s="2017"/>
      <c r="O45" s="2017"/>
      <c r="P45" s="3495"/>
      <c r="Q45" s="1133">
        <f t="shared" si="11"/>
        <v>111</v>
      </c>
      <c r="R45" s="1502" t="s">
        <v>8</v>
      </c>
      <c r="S45" s="1503">
        <f t="shared" si="12"/>
        <v>100</v>
      </c>
      <c r="T45" s="1502" t="s">
        <v>8</v>
      </c>
      <c r="U45" s="1503">
        <f t="shared" si="13"/>
        <v>100</v>
      </c>
      <c r="V45" s="1502" t="s">
        <v>8</v>
      </c>
      <c r="W45" s="1503">
        <f t="shared" si="14"/>
        <v>100</v>
      </c>
      <c r="X45" s="1504"/>
      <c r="Y45" s="3495"/>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495"/>
      <c r="Q46" s="1506">
        <f t="shared" si="11"/>
        <v>111</v>
      </c>
      <c r="R46" s="1507" t="s">
        <v>8</v>
      </c>
      <c r="S46" s="1508">
        <f t="shared" si="12"/>
        <v>100</v>
      </c>
      <c r="T46" s="1507" t="s">
        <v>8</v>
      </c>
      <c r="U46" s="1508">
        <f t="shared" si="13"/>
        <v>100</v>
      </c>
      <c r="V46" s="1507" t="s">
        <v>8</v>
      </c>
      <c r="W46" s="1508">
        <f t="shared" si="14"/>
        <v>100</v>
      </c>
      <c r="X46" s="1501"/>
      <c r="Y46" s="3495"/>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577"/>
      <c r="Q47" s="1506">
        <f t="shared" si="11"/>
        <v>111</v>
      </c>
      <c r="R47" s="1507" t="s">
        <v>8</v>
      </c>
      <c r="S47" s="1508">
        <f t="shared" si="12"/>
        <v>100</v>
      </c>
      <c r="T47" s="1507" t="s">
        <v>8</v>
      </c>
      <c r="U47" s="1508">
        <f t="shared" si="13"/>
        <v>100</v>
      </c>
      <c r="V47" s="1507" t="s">
        <v>8</v>
      </c>
      <c r="W47" s="1508">
        <f t="shared" si="14"/>
        <v>100</v>
      </c>
      <c r="X47" s="1501"/>
      <c r="Y47" s="3577"/>
      <c r="Z47" s="1509">
        <f t="shared" si="15"/>
        <v>111</v>
      </c>
      <c r="AA47" s="1510">
        <f t="shared" si="3"/>
        <v>1</v>
      </c>
      <c r="AB47" s="1510">
        <f t="shared" si="4"/>
        <v>1</v>
      </c>
      <c r="AC47" s="1510">
        <f t="shared" si="5"/>
        <v>1</v>
      </c>
    </row>
    <row r="48" spans="1:29" ht="15">
      <c r="A48" s="600" t="s">
        <v>730</v>
      </c>
      <c r="B48" s="875"/>
      <c r="C48" s="2469" t="s">
        <v>1</v>
      </c>
      <c r="D48" s="2470"/>
      <c r="E48" s="2471"/>
      <c r="F48" s="2472"/>
      <c r="G48" s="2473"/>
      <c r="H48" s="2474"/>
      <c r="I48" s="2471"/>
      <c r="J48" s="2474"/>
      <c r="K48" s="1540"/>
      <c r="L48" s="2025"/>
      <c r="M48" s="2015"/>
      <c r="N48" s="2015"/>
      <c r="O48" s="2015"/>
      <c r="P48" s="3456" t="str">
        <f>A48</f>
        <v>成交单价（元/平方米）</v>
      </c>
      <c r="Q48" s="3458"/>
      <c r="R48" s="3576">
        <f>E48</f>
        <v>0</v>
      </c>
      <c r="S48" s="3576"/>
      <c r="T48" s="3576">
        <f>G48</f>
        <v>0</v>
      </c>
      <c r="U48" s="3576"/>
      <c r="V48" s="3576">
        <f>I48</f>
        <v>0</v>
      </c>
      <c r="W48" s="3576"/>
      <c r="X48" s="1496"/>
      <c r="Y48" s="1515"/>
      <c r="Z48" s="1496"/>
      <c r="AA48" s="1496"/>
      <c r="AB48" s="1496"/>
      <c r="AC48" s="1496"/>
    </row>
    <row r="49" spans="1:29" ht="15.75" thickBot="1">
      <c r="A49" s="608" t="s">
        <v>2741</v>
      </c>
      <c r="B49" s="876"/>
      <c r="C49" s="2475" t="e">
        <f>R50</f>
        <v>#DIV/0!</v>
      </c>
      <c r="D49" s="3013" t="s">
        <v>2969</v>
      </c>
      <c r="E49" s="2476" t="e">
        <f>R49</f>
        <v>#DIV/0!</v>
      </c>
      <c r="F49" s="3014"/>
      <c r="G49" s="2475" t="e">
        <f>T49</f>
        <v>#DIV/0!</v>
      </c>
      <c r="H49" s="3014"/>
      <c r="I49" s="2476" t="e">
        <f>V49</f>
        <v>#DIV/0!</v>
      </c>
      <c r="J49" s="3014"/>
      <c r="K49" s="3022">
        <f>F49+H49+J49</f>
        <v>0</v>
      </c>
      <c r="L49" s="2025"/>
      <c r="M49" s="2015"/>
      <c r="N49" s="2015"/>
      <c r="O49" s="2015"/>
      <c r="P49" s="3456" t="str">
        <f>A49</f>
        <v>比较价格（元/平方米）</v>
      </c>
      <c r="Q49" s="3458"/>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1496"/>
      <c r="Y49" s="1496"/>
      <c r="Z49" s="1496"/>
      <c r="AA49" s="1496"/>
      <c r="AB49" s="1496"/>
      <c r="AC49" s="1496"/>
    </row>
    <row r="50" spans="1:29" ht="15.75" thickBot="1">
      <c r="A50" s="612" t="s">
        <v>2904</v>
      </c>
      <c r="B50" s="613"/>
      <c r="C50" s="2477" t="e">
        <f>R50</f>
        <v>#DIV/0!</v>
      </c>
      <c r="D50" s="2477"/>
      <c r="E50" s="2477"/>
      <c r="F50" s="2477"/>
      <c r="G50" s="2477"/>
      <c r="H50" s="2477"/>
      <c r="I50" s="2477"/>
      <c r="J50" s="2477"/>
      <c r="K50" s="1541"/>
      <c r="L50" s="2025"/>
      <c r="M50" s="2015"/>
      <c r="N50" s="2015"/>
      <c r="O50" s="2015"/>
      <c r="P50" s="3578" t="str">
        <f>A50</f>
        <v>估价对象XX用房的比较价格（楼面单价，元/平方米）</v>
      </c>
      <c r="Q50" s="3456"/>
      <c r="R50" s="3575" t="e">
        <f>IF(F1="售价",ROUND(IF(D49="简单平均",AVERAGE(R49:V49),R49*F49+T49*H49+V49*J49),0),ROUND(IF(D49="简单平均",AVERAGE(R49:V49),R49*F49+T49*H49+V49*J49),1))</f>
        <v>#DIV/0!</v>
      </c>
      <c r="S50" s="3575"/>
      <c r="T50" s="3575"/>
      <c r="U50" s="3575"/>
      <c r="V50" s="3575"/>
      <c r="W50" s="3575"/>
      <c r="X50" s="1496"/>
      <c r="Y50" s="1496"/>
      <c r="Z50" s="1496"/>
      <c r="AA50" s="1496"/>
      <c r="AB50" s="1496"/>
      <c r="AC50" s="1496"/>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2021-6</v>
      </c>
      <c r="D59" s="2520">
        <f>EDATE(C59,-1)</f>
        <v>44317</v>
      </c>
      <c r="E59" s="2520">
        <f t="shared" ref="E59:O59" si="16">EDATE(D59,-1)</f>
        <v>44287</v>
      </c>
      <c r="F59" s="2520">
        <f t="shared" si="16"/>
        <v>44256</v>
      </c>
      <c r="G59" s="2520">
        <f t="shared" si="16"/>
        <v>44228</v>
      </c>
      <c r="H59" s="2520">
        <f t="shared" si="16"/>
        <v>44197</v>
      </c>
      <c r="I59" s="2520">
        <f t="shared" si="16"/>
        <v>44166</v>
      </c>
      <c r="J59" s="2520">
        <f t="shared" si="16"/>
        <v>44136</v>
      </c>
      <c r="K59" s="2520">
        <f t="shared" si="16"/>
        <v>44105</v>
      </c>
      <c r="L59" s="2520">
        <f t="shared" si="16"/>
        <v>44075</v>
      </c>
      <c r="M59" s="2520">
        <f t="shared" si="16"/>
        <v>44044</v>
      </c>
      <c r="N59" s="2520">
        <f t="shared" si="16"/>
        <v>44013</v>
      </c>
      <c r="O59" s="2520">
        <f t="shared" si="16"/>
        <v>43983</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2539</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2540</v>
      </c>
      <c r="C83" s="2441" t="s">
        <v>2541</v>
      </c>
      <c r="D83" s="2441" t="s">
        <v>2542</v>
      </c>
      <c r="E83" s="2441" t="s">
        <v>2543</v>
      </c>
      <c r="F83" s="2441" t="s">
        <v>2544</v>
      </c>
      <c r="G83" s="2441" t="s">
        <v>2545</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2538</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1" t="s">
        <v>715</v>
      </c>
      <c r="H1" s="499"/>
      <c r="I1" s="499"/>
      <c r="J1" s="499"/>
      <c r="K1" s="500"/>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515</v>
      </c>
      <c r="B4" s="506"/>
      <c r="C4" s="3464" t="s">
        <v>516</v>
      </c>
      <c r="D4" s="3465"/>
      <c r="E4" s="3498" t="s">
        <v>517</v>
      </c>
      <c r="F4" s="3499"/>
      <c r="G4" s="3464" t="s">
        <v>518</v>
      </c>
      <c r="H4" s="3465"/>
      <c r="I4" s="3464" t="s">
        <v>519</v>
      </c>
      <c r="J4" s="3465"/>
      <c r="K4" s="507" t="s">
        <v>520</v>
      </c>
      <c r="L4" s="2014"/>
      <c r="M4" s="2015"/>
      <c r="N4" s="2015"/>
      <c r="O4" s="2015"/>
      <c r="P4" s="3466" t="s">
        <v>521</v>
      </c>
      <c r="Q4" s="3467"/>
      <c r="R4" s="3472" t="s">
        <v>517</v>
      </c>
      <c r="S4" s="3473"/>
      <c r="T4" s="3472" t="s">
        <v>518</v>
      </c>
      <c r="U4" s="3473"/>
      <c r="V4" s="3459" t="s">
        <v>519</v>
      </c>
      <c r="W4" s="3459"/>
      <c r="X4" s="1501"/>
      <c r="Y4" s="3472" t="s">
        <v>521</v>
      </c>
      <c r="Z4" s="3473"/>
      <c r="AA4" s="3461" t="s">
        <v>517</v>
      </c>
      <c r="AB4" s="3462" t="s">
        <v>518</v>
      </c>
      <c r="AC4" s="3461" t="s">
        <v>519</v>
      </c>
    </row>
    <row r="5" spans="1:29" ht="15">
      <c r="A5" s="508"/>
      <c r="B5" s="509"/>
      <c r="C5" s="3480" t="s">
        <v>2898</v>
      </c>
      <c r="D5" s="3481"/>
      <c r="E5" s="3500" t="s">
        <v>2899</v>
      </c>
      <c r="F5" s="3501"/>
      <c r="G5" s="3480" t="s">
        <v>2900</v>
      </c>
      <c r="H5" s="3481"/>
      <c r="I5" s="3480" t="s">
        <v>2901</v>
      </c>
      <c r="J5" s="3481"/>
      <c r="K5" s="507"/>
      <c r="L5" s="2014"/>
      <c r="M5" s="2015"/>
      <c r="N5" s="2015"/>
      <c r="O5" s="2015"/>
      <c r="P5" s="3468"/>
      <c r="Q5" s="3469"/>
      <c r="R5" s="3474"/>
      <c r="S5" s="3475"/>
      <c r="T5" s="3474"/>
      <c r="U5" s="3475"/>
      <c r="V5" s="3459"/>
      <c r="W5" s="3459"/>
      <c r="X5" s="1501"/>
      <c r="Y5" s="3474"/>
      <c r="Z5" s="3475"/>
      <c r="AA5" s="3462"/>
      <c r="AB5" s="3462"/>
      <c r="AC5" s="3462"/>
    </row>
    <row r="6" spans="1:29" ht="15.75" thickBot="1">
      <c r="A6" s="510"/>
      <c r="B6" s="511"/>
      <c r="C6" s="3478" t="s">
        <v>2902</v>
      </c>
      <c r="D6" s="3479"/>
      <c r="E6" s="3496" t="s">
        <v>2902</v>
      </c>
      <c r="F6" s="3497"/>
      <c r="G6" s="3478" t="s">
        <v>2902</v>
      </c>
      <c r="H6" s="3479"/>
      <c r="I6" s="3478" t="s">
        <v>2902</v>
      </c>
      <c r="J6" s="3479"/>
      <c r="K6" s="507" t="s">
        <v>522</v>
      </c>
      <c r="L6" s="2014"/>
      <c r="M6" s="2015"/>
      <c r="N6" s="2015"/>
      <c r="O6" s="2015"/>
      <c r="P6" s="3470"/>
      <c r="Q6" s="3471"/>
      <c r="R6" s="3474"/>
      <c r="S6" s="3475"/>
      <c r="T6" s="3476"/>
      <c r="U6" s="3477"/>
      <c r="V6" s="3459"/>
      <c r="W6" s="3459"/>
      <c r="X6" s="1501"/>
      <c r="Y6" s="3476"/>
      <c r="Z6" s="3477"/>
      <c r="AA6" s="3463"/>
      <c r="AB6" s="3463"/>
      <c r="AC6" s="3463"/>
    </row>
    <row r="7" spans="1:29" s="1202" customFormat="1" ht="15.75" thickBot="1">
      <c r="A7" s="2628"/>
      <c r="B7" s="2635" t="s">
        <v>523</v>
      </c>
      <c r="C7" s="512">
        <f>'数据-取费表'!B2</f>
        <v>44371</v>
      </c>
      <c r="D7" s="513">
        <v>100</v>
      </c>
      <c r="E7" s="514"/>
      <c r="F7" s="515">
        <f>SUMIF(52:52,YEAR(E7)&amp;"-"&amp;MONTH(E7),53:53)</f>
        <v>0</v>
      </c>
      <c r="G7" s="514"/>
      <c r="H7" s="513">
        <f>SUMIF(52:52,YEAR(G7)&amp;"-"&amp;MONTH(G7),53:53)</f>
        <v>0</v>
      </c>
      <c r="I7" s="514"/>
      <c r="J7" s="513">
        <f>SUMIF(52:52,YEAR(I7)&amp;"-"&amp;MONTH(I7),53:53)</f>
        <v>0</v>
      </c>
      <c r="K7" s="517"/>
      <c r="L7" s="2016"/>
      <c r="M7" s="2017"/>
      <c r="N7" s="2017"/>
      <c r="O7" s="2017"/>
      <c r="P7" s="3489" t="s">
        <v>524</v>
      </c>
      <c r="Q7" s="3491"/>
      <c r="R7" s="1502" t="s">
        <v>8</v>
      </c>
      <c r="S7" s="1503">
        <f t="shared" ref="S7:S15" si="0">F7</f>
        <v>0</v>
      </c>
      <c r="T7" s="1502" t="s">
        <v>8</v>
      </c>
      <c r="U7" s="1503">
        <f t="shared" ref="U7:U15" si="1">H7</f>
        <v>0</v>
      </c>
      <c r="V7" s="1502" t="s">
        <v>8</v>
      </c>
      <c r="W7" s="1503">
        <f t="shared" ref="W7:W15"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489" t="s">
        <v>527</v>
      </c>
      <c r="Q8" s="3490"/>
      <c r="R8" s="1502" t="s">
        <v>8</v>
      </c>
      <c r="S8" s="1503">
        <f t="shared" si="0"/>
        <v>0</v>
      </c>
      <c r="T8" s="1502" t="s">
        <v>8</v>
      </c>
      <c r="U8" s="1503">
        <f t="shared" si="1"/>
        <v>0</v>
      </c>
      <c r="V8" s="1502" t="s">
        <v>8</v>
      </c>
      <c r="W8" s="1503">
        <f t="shared" si="2"/>
        <v>0</v>
      </c>
      <c r="X8" s="1504"/>
      <c r="Y8" s="3489" t="s">
        <v>527</v>
      </c>
      <c r="Z8" s="3490"/>
      <c r="AA8" s="1505" t="e">
        <f t="shared" ref="AA8:AA40" si="3">D8/F8</f>
        <v>#DIV/0!</v>
      </c>
      <c r="AB8" s="1505" t="e">
        <f t="shared" ref="AB8:AB40" si="4">D8/H8</f>
        <v>#DIV/0!</v>
      </c>
      <c r="AC8" s="1505" t="e">
        <f t="shared" ref="AC8:AC40" si="5">D8/J8</f>
        <v>#DIV/0!</v>
      </c>
    </row>
    <row r="9" spans="1:29" s="1202" customFormat="1" ht="15">
      <c r="A9" s="2630"/>
      <c r="B9" s="2637" t="s">
        <v>2737</v>
      </c>
      <c r="C9" s="845"/>
      <c r="D9" s="252">
        <v>100</v>
      </c>
      <c r="E9" s="848"/>
      <c r="F9" s="252">
        <f>SUMIF(57:57,E9,58:58)-SUMIF(57:57,C9,58:58)+100</f>
        <v>100</v>
      </c>
      <c r="G9" s="846"/>
      <c r="H9" s="252">
        <f>SUMIF(57:57,G9,58:58)-SUMIF(57:57,C9,58:58)+100</f>
        <v>100</v>
      </c>
      <c r="I9" s="846"/>
      <c r="J9" s="252">
        <f>SUMIF(57:57,I9,58:58)-SUMIF(57:57,C9,58:58)+100</f>
        <v>100</v>
      </c>
      <c r="K9" s="517"/>
      <c r="L9" s="2016"/>
      <c r="M9" s="2017"/>
      <c r="N9" s="2017"/>
      <c r="O9" s="2018"/>
      <c r="P9" s="3458" t="s">
        <v>529</v>
      </c>
      <c r="Q9" s="1133" t="str">
        <f t="shared" ref="Q9:Q15" si="6">B9</f>
        <v>用途</v>
      </c>
      <c r="R9" s="1502" t="s">
        <v>8</v>
      </c>
      <c r="S9" s="1503">
        <f t="shared" si="0"/>
        <v>100</v>
      </c>
      <c r="T9" s="1502" t="s">
        <v>8</v>
      </c>
      <c r="U9" s="1503">
        <f t="shared" si="1"/>
        <v>100</v>
      </c>
      <c r="V9" s="1502" t="s">
        <v>8</v>
      </c>
      <c r="W9" s="1503">
        <f t="shared" si="2"/>
        <v>100</v>
      </c>
      <c r="X9" s="1504"/>
      <c r="Y9" s="3404"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SUMIF(59:59,E10,60:60)-SUMIF(59:59,C10,60:60)+100</f>
        <v>100</v>
      </c>
      <c r="G10" s="850"/>
      <c r="H10" s="253">
        <f>SUMIF(59:59,G10,60:60)-SUMIF(59:59,C10,60:60)+100</f>
        <v>100</v>
      </c>
      <c r="I10" s="849"/>
      <c r="J10" s="253">
        <f>SUMIF(59:59,I10,60:60)-SUMIF(59:59,C10,60:60)+100</f>
        <v>100</v>
      </c>
      <c r="K10" s="577"/>
      <c r="L10" s="2019"/>
      <c r="M10" s="2058"/>
      <c r="N10" s="2058"/>
      <c r="O10" s="2020"/>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LOOKUP(E11,62:62,63:63)-LOOKUP(C11,62:62,63:63)+100</f>
        <v>#N/A</v>
      </c>
      <c r="G11" s="527"/>
      <c r="H11" s="253" t="e">
        <f>LOOKUP(G11,62:62,63:63)-LOOKUP(C11,62:62,63:63)+100</f>
        <v>#N/A</v>
      </c>
      <c r="I11" s="526"/>
      <c r="J11" s="253" t="e">
        <f>LOOKUP(I11,62:62,63:63)-LOOKUP(C11,62:62,63:63)+100</f>
        <v>#N/A</v>
      </c>
      <c r="K11" s="577"/>
      <c r="L11" s="2021"/>
      <c r="M11" s="2015"/>
      <c r="N11" s="2015"/>
      <c r="O11" s="2022"/>
      <c r="P11" s="3458"/>
      <c r="Q11" s="1133" t="str">
        <f t="shared" si="6"/>
        <v>容积率</v>
      </c>
      <c r="R11" s="1502" t="s">
        <v>8</v>
      </c>
      <c r="S11" s="1503" t="e">
        <f t="shared" si="0"/>
        <v>#N/A</v>
      </c>
      <c r="T11" s="1502" t="s">
        <v>8</v>
      </c>
      <c r="U11" s="1503" t="e">
        <f t="shared" si="1"/>
        <v>#N/A</v>
      </c>
      <c r="V11" s="1502" t="s">
        <v>8</v>
      </c>
      <c r="W11" s="1503" t="e">
        <f t="shared" si="2"/>
        <v>#N/A</v>
      </c>
      <c r="X11" s="1504"/>
      <c r="Y11" s="3404"/>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SUMIF(64:64,E12,65:65)-SUMIF(64:64,C12,65:65)+100</f>
        <v>100</v>
      </c>
      <c r="G12" s="908"/>
      <c r="H12" s="253">
        <f>SUMIF(64:64,G12,65:65)-SUMIF(64:64,C12,65:65)+100</f>
        <v>100</v>
      </c>
      <c r="I12" s="868"/>
      <c r="J12" s="253">
        <f>SUMIF(64:64,I12,65:65)-SUMIF(64:64,C12,65:65)+100</f>
        <v>100</v>
      </c>
      <c r="K12" s="574"/>
      <c r="L12" s="2016"/>
      <c r="M12" s="2017"/>
      <c r="N12" s="2017"/>
      <c r="O12" s="2018"/>
      <c r="P12" s="3458"/>
      <c r="Q12" s="1133">
        <f t="shared" si="6"/>
        <v>111</v>
      </c>
      <c r="R12" s="1502" t="s">
        <v>8</v>
      </c>
      <c r="S12" s="1503">
        <f t="shared" si="0"/>
        <v>100</v>
      </c>
      <c r="T12" s="1502" t="s">
        <v>8</v>
      </c>
      <c r="U12" s="1503">
        <f t="shared" si="1"/>
        <v>100</v>
      </c>
      <c r="V12" s="1502" t="s">
        <v>8</v>
      </c>
      <c r="W12" s="1503">
        <f t="shared" si="2"/>
        <v>100</v>
      </c>
      <c r="X12" s="1504"/>
      <c r="Y12" s="3404"/>
      <c r="Z12" s="1132">
        <f t="shared" si="7"/>
        <v>111</v>
      </c>
      <c r="AA12" s="1505">
        <f>D12/F12</f>
        <v>1</v>
      </c>
      <c r="AB12" s="1505">
        <f>D12/H12</f>
        <v>1</v>
      </c>
      <c r="AC12" s="1505">
        <f>D12/J12</f>
        <v>1</v>
      </c>
    </row>
    <row r="13" spans="1:29" ht="15">
      <c r="A13" s="2633"/>
      <c r="B13" s="2639">
        <v>111</v>
      </c>
      <c r="C13" s="532"/>
      <c r="D13" s="533">
        <v>100</v>
      </c>
      <c r="E13" s="532"/>
      <c r="F13" s="253">
        <f>SUMIF(66:66,E13,67:67)-SUMIF(66:66,C13,67:67)+100</f>
        <v>100</v>
      </c>
      <c r="G13" s="908"/>
      <c r="H13" s="533">
        <f>SUMIF(66:66,G13,67:67)-SUMIF(66:66,C13,67:67)+100</f>
        <v>100</v>
      </c>
      <c r="I13" s="868"/>
      <c r="J13" s="533">
        <f>SUMIF(66:66,I13,67:67)-SUMIF(66:66,C13,67:67)+100</f>
        <v>100</v>
      </c>
      <c r="K13" s="574"/>
      <c r="L13" s="2023"/>
      <c r="M13" s="2015"/>
      <c r="N13" s="2015"/>
      <c r="O13" s="2022"/>
      <c r="P13" s="3458"/>
      <c r="Q13" s="1133">
        <f t="shared" si="6"/>
        <v>111</v>
      </c>
      <c r="R13" s="1502" t="s">
        <v>8</v>
      </c>
      <c r="S13" s="1503">
        <f t="shared" si="0"/>
        <v>100</v>
      </c>
      <c r="T13" s="1502" t="s">
        <v>8</v>
      </c>
      <c r="U13" s="1503">
        <f t="shared" si="1"/>
        <v>100</v>
      </c>
      <c r="V13" s="1502" t="s">
        <v>8</v>
      </c>
      <c r="W13" s="1503">
        <f t="shared" si="2"/>
        <v>100</v>
      </c>
      <c r="X13" s="1504"/>
      <c r="Y13" s="3404"/>
      <c r="Z13" s="1132">
        <f t="shared" si="7"/>
        <v>111</v>
      </c>
      <c r="AA13" s="1505">
        <f t="shared" si="3"/>
        <v>1</v>
      </c>
      <c r="AB13" s="1505">
        <f t="shared" si="4"/>
        <v>1</v>
      </c>
      <c r="AC13" s="1505">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58"/>
      <c r="Q14" s="1133">
        <f t="shared" si="6"/>
        <v>111</v>
      </c>
      <c r="R14" s="1502" t="s">
        <v>8</v>
      </c>
      <c r="S14" s="1503">
        <f t="shared" si="0"/>
        <v>100</v>
      </c>
      <c r="T14" s="1502" t="s">
        <v>8</v>
      </c>
      <c r="U14" s="1503">
        <f t="shared" si="1"/>
        <v>100</v>
      </c>
      <c r="V14" s="1502" t="s">
        <v>8</v>
      </c>
      <c r="W14" s="1503">
        <f t="shared" si="2"/>
        <v>100</v>
      </c>
      <c r="X14" s="1504"/>
      <c r="Y14" s="3404"/>
      <c r="Z14" s="1132">
        <f t="shared" si="7"/>
        <v>111</v>
      </c>
      <c r="AA14" s="1505">
        <f t="shared" si="3"/>
        <v>1</v>
      </c>
      <c r="AB14" s="1505">
        <f t="shared" si="4"/>
        <v>1</v>
      </c>
      <c r="AC14" s="1505">
        <f t="shared" si="5"/>
        <v>1</v>
      </c>
    </row>
    <row r="15" spans="1:29" ht="57">
      <c r="A15" s="2626" t="s">
        <v>2735</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492" t="s">
        <v>534</v>
      </c>
      <c r="Q15" s="1506" t="str">
        <f t="shared" si="6"/>
        <v>产业集聚程度</v>
      </c>
      <c r="R15" s="1507" t="s">
        <v>8</v>
      </c>
      <c r="S15" s="1508">
        <f t="shared" si="0"/>
        <v>100</v>
      </c>
      <c r="T15" s="1507" t="s">
        <v>8</v>
      </c>
      <c r="U15" s="1508">
        <f t="shared" si="1"/>
        <v>100</v>
      </c>
      <c r="V15" s="1507" t="s">
        <v>8</v>
      </c>
      <c r="W15" s="1508">
        <f t="shared" si="2"/>
        <v>100</v>
      </c>
      <c r="X15" s="1501"/>
      <c r="Y15" s="3492"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493"/>
      <c r="Q16" s="1506"/>
      <c r="R16" s="1507"/>
      <c r="S16" s="1508"/>
      <c r="T16" s="1507"/>
      <c r="U16" s="1508"/>
      <c r="V16" s="1507"/>
      <c r="W16" s="1508"/>
      <c r="X16" s="1501"/>
      <c r="Y16" s="3493"/>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493"/>
      <c r="Q18" s="1506"/>
      <c r="R18" s="1507"/>
      <c r="S18" s="1508"/>
      <c r="T18" s="1507"/>
      <c r="U18" s="1508"/>
      <c r="V18" s="1507"/>
      <c r="W18" s="1508"/>
      <c r="X18" s="1501"/>
      <c r="Y18" s="3493"/>
      <c r="Z18" s="1509"/>
      <c r="AA18" s="1510">
        <v>1</v>
      </c>
      <c r="AB18" s="1510">
        <v>1</v>
      </c>
      <c r="AC18" s="1510">
        <v>1</v>
      </c>
    </row>
    <row r="19" spans="1:29" ht="42.75">
      <c r="A19" s="525"/>
      <c r="B19" s="2446" t="s">
        <v>2528</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3"/>
      <c r="M20" s="2015"/>
      <c r="N20" s="2015"/>
      <c r="O20" s="2022"/>
      <c r="P20" s="3493"/>
      <c r="Q20" s="1506"/>
      <c r="R20" s="1507"/>
      <c r="S20" s="1508"/>
      <c r="T20" s="1507"/>
      <c r="U20" s="1508"/>
      <c r="V20" s="1507"/>
      <c r="W20" s="1508"/>
      <c r="X20" s="1501"/>
      <c r="Y20" s="3493"/>
      <c r="Z20" s="1509"/>
      <c r="AA20" s="1510">
        <v>1</v>
      </c>
      <c r="AB20" s="1510">
        <v>1</v>
      </c>
      <c r="AC20" s="1510">
        <v>1</v>
      </c>
    </row>
    <row r="21" spans="1:29" ht="28.5">
      <c r="A21" s="525"/>
      <c r="B21" s="2434" t="s">
        <v>2540</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493"/>
      <c r="Q21" s="2428" t="str">
        <f>B21</f>
        <v>基础设施水平</v>
      </c>
      <c r="R21" s="1507" t="s">
        <v>8</v>
      </c>
      <c r="S21" s="1508">
        <f>F21</f>
        <v>100</v>
      </c>
      <c r="T21" s="1507" t="s">
        <v>8</v>
      </c>
      <c r="U21" s="1508">
        <f>H21</f>
        <v>100</v>
      </c>
      <c r="V21" s="1507" t="s">
        <v>8</v>
      </c>
      <c r="W21" s="1508">
        <f>J21</f>
        <v>100</v>
      </c>
      <c r="X21" s="2430"/>
      <c r="Y21" s="3493"/>
      <c r="Z21" s="2429"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5"/>
      <c r="L22" s="2023"/>
      <c r="M22" s="2015"/>
      <c r="N22" s="2015"/>
      <c r="O22" s="2022"/>
      <c r="P22" s="3493"/>
      <c r="Q22" s="2428"/>
      <c r="R22" s="1507"/>
      <c r="S22" s="1508"/>
      <c r="T22" s="1507"/>
      <c r="U22" s="1508"/>
      <c r="V22" s="1507"/>
      <c r="W22" s="1508"/>
      <c r="X22" s="2430"/>
      <c r="Y22" s="3493"/>
      <c r="Z22" s="2429"/>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493"/>
      <c r="Q23" s="1506" t="str">
        <f>B23</f>
        <v>环境质量</v>
      </c>
      <c r="R23" s="1507" t="s">
        <v>8</v>
      </c>
      <c r="S23" s="1508">
        <f>F23</f>
        <v>100</v>
      </c>
      <c r="T23" s="1507" t="s">
        <v>8</v>
      </c>
      <c r="U23" s="1508">
        <f>H23</f>
        <v>100</v>
      </c>
      <c r="V23" s="1507" t="s">
        <v>8</v>
      </c>
      <c r="W23" s="1508">
        <f>J23</f>
        <v>100</v>
      </c>
      <c r="X23" s="1501"/>
      <c r="Y23" s="3493"/>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3"/>
      <c r="M24" s="2015"/>
      <c r="N24" s="2015"/>
      <c r="O24" s="2022"/>
      <c r="P24" s="3493"/>
      <c r="Q24" s="1506"/>
      <c r="R24" s="1507"/>
      <c r="S24" s="1508"/>
      <c r="T24" s="1507"/>
      <c r="U24" s="1508"/>
      <c r="V24" s="1507"/>
      <c r="W24" s="1508"/>
      <c r="X24" s="1501"/>
      <c r="Y24" s="3493"/>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493"/>
      <c r="Q25" s="1506">
        <f>B25</f>
        <v>111</v>
      </c>
      <c r="R25" s="1507" t="s">
        <v>8</v>
      </c>
      <c r="S25" s="1508">
        <f>F25</f>
        <v>100</v>
      </c>
      <c r="T25" s="1507" t="s">
        <v>8</v>
      </c>
      <c r="U25" s="1508">
        <f>H25</f>
        <v>100</v>
      </c>
      <c r="V25" s="1507" t="s">
        <v>8</v>
      </c>
      <c r="W25" s="1508">
        <f>J25</f>
        <v>100</v>
      </c>
      <c r="X25" s="1501"/>
      <c r="Y25" s="3493"/>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493"/>
      <c r="Q26" s="1506">
        <f t="shared" ref="Q26:Q40" si="11">B26</f>
        <v>111</v>
      </c>
      <c r="R26" s="1507" t="s">
        <v>8</v>
      </c>
      <c r="S26" s="1508">
        <f>F26</f>
        <v>100</v>
      </c>
      <c r="T26" s="1507" t="s">
        <v>8</v>
      </c>
      <c r="U26" s="1508">
        <f>H26</f>
        <v>100</v>
      </c>
      <c r="V26" s="1507" t="s">
        <v>8</v>
      </c>
      <c r="W26" s="1508">
        <f>J26</f>
        <v>100</v>
      </c>
      <c r="X26" s="1501"/>
      <c r="Y26" s="3493"/>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493"/>
      <c r="Q27" s="1133">
        <f t="shared" si="11"/>
        <v>111</v>
      </c>
      <c r="R27" s="1502" t="s">
        <v>8</v>
      </c>
      <c r="S27" s="1503">
        <f>F27</f>
        <v>100</v>
      </c>
      <c r="T27" s="1502" t="s">
        <v>8</v>
      </c>
      <c r="U27" s="1503">
        <f>H27</f>
        <v>100</v>
      </c>
      <c r="V27" s="1502" t="s">
        <v>8</v>
      </c>
      <c r="W27" s="1503">
        <f>J27</f>
        <v>100</v>
      </c>
      <c r="X27" s="1504"/>
      <c r="Y27" s="3493"/>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493"/>
      <c r="Q28" s="1506">
        <f t="shared" si="11"/>
        <v>111</v>
      </c>
      <c r="R28" s="1507" t="s">
        <v>8</v>
      </c>
      <c r="S28" s="1508">
        <f t="shared" ref="S28:S40" si="12">F28</f>
        <v>100</v>
      </c>
      <c r="T28" s="1507" t="s">
        <v>8</v>
      </c>
      <c r="U28" s="1508">
        <f t="shared" ref="U28:U40" si="13">H28</f>
        <v>100</v>
      </c>
      <c r="V28" s="1507" t="s">
        <v>8</v>
      </c>
      <c r="W28" s="1508">
        <f t="shared" ref="W28:W40" si="14">J28</f>
        <v>100</v>
      </c>
      <c r="X28" s="1501"/>
      <c r="Y28" s="3493"/>
      <c r="Z28" s="1509">
        <f t="shared" ref="Z28:Z40" si="15">Q28</f>
        <v>111</v>
      </c>
      <c r="AA28" s="1510">
        <f t="shared" si="3"/>
        <v>1</v>
      </c>
      <c r="AB28" s="1510">
        <f t="shared" si="4"/>
        <v>1</v>
      </c>
      <c r="AC28" s="1510">
        <f t="shared" si="5"/>
        <v>1</v>
      </c>
    </row>
    <row r="29" spans="1:29" ht="15">
      <c r="A29" s="2623" t="s">
        <v>2736</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494" t="s">
        <v>544</v>
      </c>
      <c r="Q29" s="1506" t="str">
        <f t="shared" si="11"/>
        <v>建筑类型</v>
      </c>
      <c r="R29" s="1507" t="s">
        <v>8</v>
      </c>
      <c r="S29" s="1508">
        <f t="shared" si="12"/>
        <v>100</v>
      </c>
      <c r="T29" s="1507" t="s">
        <v>8</v>
      </c>
      <c r="U29" s="1508">
        <f t="shared" si="13"/>
        <v>100</v>
      </c>
      <c r="V29" s="1507" t="s">
        <v>8</v>
      </c>
      <c r="W29" s="1508">
        <f t="shared" si="14"/>
        <v>100</v>
      </c>
      <c r="X29" s="1501"/>
      <c r="Y29" s="3495" t="s">
        <v>544</v>
      </c>
      <c r="Z29" s="1509" t="str">
        <f t="shared" si="15"/>
        <v>建筑类型</v>
      </c>
      <c r="AA29" s="1510">
        <f t="shared" si="3"/>
        <v>1</v>
      </c>
      <c r="AB29" s="1510">
        <f t="shared" si="4"/>
        <v>1</v>
      </c>
      <c r="AC29" s="1510">
        <f t="shared" si="5"/>
        <v>1</v>
      </c>
    </row>
    <row r="30" spans="1:29" s="1292" customFormat="1" ht="15">
      <c r="A30" s="596"/>
      <c r="B30" s="520" t="s">
        <v>720</v>
      </c>
      <c r="C30" s="868"/>
      <c r="D30" s="253">
        <v>100</v>
      </c>
      <c r="E30" s="527"/>
      <c r="F30" s="851" t="e">
        <f>LOOKUP(E30,91:91,92:92)-LOOKUP(C30,91:91,92:92)+100</f>
        <v>#N/A</v>
      </c>
      <c r="G30" s="526"/>
      <c r="H30" s="253" t="e">
        <f>LOOKUP(G30,91:91,92:92)-LOOKUP(C30,91:91,92:92)+100</f>
        <v>#N/A</v>
      </c>
      <c r="I30" s="526"/>
      <c r="J30" s="253" t="e">
        <f>LOOKUP(I30,91:91,92:92)-LOOKUP(C30,91:91,92:92)+100</f>
        <v>#N/A</v>
      </c>
      <c r="K30" s="574"/>
      <c r="L30" s="2021"/>
      <c r="M30" s="2051"/>
      <c r="N30" s="2051"/>
      <c r="O30" s="2024"/>
      <c r="P30" s="3495"/>
      <c r="Q30" s="1535" t="str">
        <f t="shared" si="11"/>
        <v>项目建筑规模</v>
      </c>
      <c r="R30" s="1511" t="s">
        <v>8</v>
      </c>
      <c r="S30" s="1512" t="e">
        <f t="shared" si="12"/>
        <v>#N/A</v>
      </c>
      <c r="T30" s="1511" t="s">
        <v>8</v>
      </c>
      <c r="U30" s="1512" t="e">
        <f t="shared" si="13"/>
        <v>#N/A</v>
      </c>
      <c r="V30" s="1511" t="s">
        <v>8</v>
      </c>
      <c r="W30" s="1512" t="e">
        <f t="shared" si="14"/>
        <v>#N/A</v>
      </c>
      <c r="X30" s="1513"/>
      <c r="Y30" s="3495"/>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495"/>
      <c r="Q31" s="1506" t="str">
        <f t="shared" si="11"/>
        <v>建筑结构</v>
      </c>
      <c r="R31" s="1507" t="s">
        <v>8</v>
      </c>
      <c r="S31" s="1508">
        <f t="shared" si="12"/>
        <v>100</v>
      </c>
      <c r="T31" s="1507" t="s">
        <v>8</v>
      </c>
      <c r="U31" s="1508">
        <f t="shared" si="13"/>
        <v>100</v>
      </c>
      <c r="V31" s="1507" t="s">
        <v>8</v>
      </c>
      <c r="W31" s="1508">
        <f t="shared" si="14"/>
        <v>100</v>
      </c>
      <c r="X31" s="1501"/>
      <c r="Y31" s="3495"/>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495"/>
      <c r="Q32" s="1506" t="str">
        <f t="shared" si="11"/>
        <v>公共部分装修</v>
      </c>
      <c r="R32" s="1507" t="s">
        <v>8</v>
      </c>
      <c r="S32" s="1508">
        <f t="shared" si="12"/>
        <v>100</v>
      </c>
      <c r="T32" s="1507" t="s">
        <v>8</v>
      </c>
      <c r="U32" s="1508">
        <f t="shared" si="13"/>
        <v>100</v>
      </c>
      <c r="V32" s="1507" t="s">
        <v>8</v>
      </c>
      <c r="W32" s="1508">
        <f t="shared" si="14"/>
        <v>100</v>
      </c>
      <c r="X32" s="1501"/>
      <c r="Y32" s="3495"/>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495"/>
      <c r="Q33" s="1506" t="str">
        <f t="shared" si="11"/>
        <v>成新度</v>
      </c>
      <c r="R33" s="1507" t="s">
        <v>8</v>
      </c>
      <c r="S33" s="1508" t="e">
        <f t="shared" si="12"/>
        <v>#N/A</v>
      </c>
      <c r="T33" s="1507" t="s">
        <v>8</v>
      </c>
      <c r="U33" s="1508" t="e">
        <f t="shared" si="13"/>
        <v>#N/A</v>
      </c>
      <c r="V33" s="1507" t="s">
        <v>8</v>
      </c>
      <c r="W33" s="1508" t="e">
        <f t="shared" si="14"/>
        <v>#N/A</v>
      </c>
      <c r="X33" s="1501"/>
      <c r="Y33" s="3495"/>
      <c r="Z33" s="1509" t="str">
        <f t="shared" si="15"/>
        <v>成新度</v>
      </c>
      <c r="AA33" s="1510" t="e">
        <f t="shared" si="3"/>
        <v>#N/A</v>
      </c>
      <c r="AB33" s="1510" t="e">
        <f t="shared" si="4"/>
        <v>#N/A</v>
      </c>
      <c r="AC33" s="1510" t="e">
        <f t="shared" si="5"/>
        <v>#N/A</v>
      </c>
    </row>
    <row r="34" spans="1:29" s="1202" customFormat="1" ht="15">
      <c r="A34" s="593"/>
      <c r="B34" s="520" t="s">
        <v>776</v>
      </c>
      <c r="C34" s="567"/>
      <c r="D34" s="253">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495"/>
      <c r="Q34" s="1133" t="str">
        <f t="shared" si="11"/>
        <v>物业管理</v>
      </c>
      <c r="R34" s="1502" t="s">
        <v>8</v>
      </c>
      <c r="S34" s="1503">
        <f t="shared" si="12"/>
        <v>100</v>
      </c>
      <c r="T34" s="1502" t="s">
        <v>8</v>
      </c>
      <c r="U34" s="1503">
        <f t="shared" si="13"/>
        <v>100</v>
      </c>
      <c r="V34" s="1502" t="s">
        <v>8</v>
      </c>
      <c r="W34" s="1503">
        <f t="shared" si="14"/>
        <v>100</v>
      </c>
      <c r="X34" s="1504"/>
      <c r="Y34" s="3495"/>
      <c r="Z34" s="1132" t="str">
        <f t="shared" si="15"/>
        <v>物业管理</v>
      </c>
      <c r="AA34" s="1505">
        <f t="shared" si="3"/>
        <v>1</v>
      </c>
      <c r="AB34" s="1505">
        <f t="shared" si="4"/>
        <v>1</v>
      </c>
      <c r="AC34" s="1505">
        <f t="shared" si="5"/>
        <v>1</v>
      </c>
    </row>
    <row r="35" spans="1:29" ht="15">
      <c r="A35" s="587"/>
      <c r="B35" s="1808" t="s">
        <v>2547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495" t="s">
        <v>544</v>
      </c>
      <c r="Q35" s="1506" t="str">
        <f t="shared" si="11"/>
        <v>市政基础设施</v>
      </c>
      <c r="R35" s="1507" t="s">
        <v>8</v>
      </c>
      <c r="S35" s="1508">
        <f t="shared" si="12"/>
        <v>100</v>
      </c>
      <c r="T35" s="1507" t="s">
        <v>8</v>
      </c>
      <c r="U35" s="1508">
        <f t="shared" si="13"/>
        <v>100</v>
      </c>
      <c r="V35" s="1507" t="s">
        <v>8</v>
      </c>
      <c r="W35" s="1508">
        <f t="shared" si="14"/>
        <v>100</v>
      </c>
      <c r="X35" s="1501"/>
      <c r="Y35" s="3495"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495"/>
      <c r="Q36" s="1506" t="str">
        <f t="shared" si="11"/>
        <v>内部装修</v>
      </c>
      <c r="R36" s="1507" t="s">
        <v>8</v>
      </c>
      <c r="S36" s="1508">
        <f t="shared" si="12"/>
        <v>100</v>
      </c>
      <c r="T36" s="1507" t="s">
        <v>8</v>
      </c>
      <c r="U36" s="1508">
        <f t="shared" si="13"/>
        <v>100</v>
      </c>
      <c r="V36" s="1507" t="s">
        <v>8</v>
      </c>
      <c r="W36" s="1508">
        <f t="shared" si="14"/>
        <v>100</v>
      </c>
      <c r="X36" s="1501"/>
      <c r="Y36" s="3495"/>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495"/>
      <c r="Q37" s="1506" t="str">
        <f t="shared" si="11"/>
        <v>内部装修状况</v>
      </c>
      <c r="R37" s="1507" t="s">
        <v>8</v>
      </c>
      <c r="S37" s="1508">
        <f t="shared" si="12"/>
        <v>100</v>
      </c>
      <c r="T37" s="1507" t="s">
        <v>8</v>
      </c>
      <c r="U37" s="1508">
        <f t="shared" si="13"/>
        <v>100</v>
      </c>
      <c r="V37" s="1507" t="s">
        <v>8</v>
      </c>
      <c r="W37" s="1508">
        <f t="shared" si="14"/>
        <v>100</v>
      </c>
      <c r="X37" s="1501"/>
      <c r="Y37" s="3495"/>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495"/>
      <c r="Q38" s="1535">
        <f t="shared" si="11"/>
        <v>111</v>
      </c>
      <c r="R38" s="1511" t="s">
        <v>8</v>
      </c>
      <c r="S38" s="1512">
        <f t="shared" si="12"/>
        <v>100</v>
      </c>
      <c r="T38" s="1511" t="s">
        <v>8</v>
      </c>
      <c r="U38" s="1512">
        <f t="shared" si="13"/>
        <v>100</v>
      </c>
      <c r="V38" s="1511" t="s">
        <v>8</v>
      </c>
      <c r="W38" s="1512">
        <f t="shared" si="14"/>
        <v>100</v>
      </c>
      <c r="X38" s="1513"/>
      <c r="Y38" s="3495"/>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495"/>
      <c r="Q39" s="1506">
        <f t="shared" si="11"/>
        <v>111</v>
      </c>
      <c r="R39" s="1507" t="s">
        <v>8</v>
      </c>
      <c r="S39" s="1508">
        <f t="shared" si="12"/>
        <v>100</v>
      </c>
      <c r="T39" s="1507" t="s">
        <v>8</v>
      </c>
      <c r="U39" s="1508">
        <f t="shared" si="13"/>
        <v>100</v>
      </c>
      <c r="V39" s="1507" t="s">
        <v>8</v>
      </c>
      <c r="W39" s="1508">
        <f t="shared" si="14"/>
        <v>100</v>
      </c>
      <c r="X39" s="1501"/>
      <c r="Y39" s="3495"/>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577"/>
      <c r="Q40" s="1506">
        <f t="shared" si="11"/>
        <v>111</v>
      </c>
      <c r="R40" s="1507" t="s">
        <v>8</v>
      </c>
      <c r="S40" s="1508">
        <f t="shared" si="12"/>
        <v>100</v>
      </c>
      <c r="T40" s="1507" t="s">
        <v>8</v>
      </c>
      <c r="U40" s="1508">
        <f t="shared" si="13"/>
        <v>100</v>
      </c>
      <c r="V40" s="1507" t="s">
        <v>8</v>
      </c>
      <c r="W40" s="1508">
        <f t="shared" si="14"/>
        <v>100</v>
      </c>
      <c r="X40" s="1501"/>
      <c r="Y40" s="3577"/>
      <c r="Z40" s="1509">
        <f t="shared" si="15"/>
        <v>111</v>
      </c>
      <c r="AA40" s="1510">
        <f t="shared" si="3"/>
        <v>1</v>
      </c>
      <c r="AB40" s="1510">
        <f t="shared" si="4"/>
        <v>1</v>
      </c>
      <c r="AC40" s="1510">
        <f t="shared" si="5"/>
        <v>1</v>
      </c>
    </row>
    <row r="41" spans="1:29" ht="15">
      <c r="A41" s="600" t="s">
        <v>730</v>
      </c>
      <c r="B41" s="875"/>
      <c r="C41" s="2469" t="s">
        <v>1</v>
      </c>
      <c r="D41" s="2470"/>
      <c r="E41" s="2471"/>
      <c r="F41" s="2472"/>
      <c r="G41" s="2473"/>
      <c r="H41" s="2474"/>
      <c r="I41" s="2471"/>
      <c r="J41" s="2474"/>
      <c r="K41" s="1540"/>
      <c r="L41" s="2025"/>
      <c r="M41" s="2026"/>
      <c r="N41" s="2015"/>
      <c r="O41" s="2026"/>
      <c r="P41" s="3458" t="str">
        <f>A41</f>
        <v>成交单价（元/平方米）</v>
      </c>
      <c r="Q41" s="3458"/>
      <c r="R41" s="3576">
        <f>E41</f>
        <v>0</v>
      </c>
      <c r="S41" s="3576"/>
      <c r="T41" s="3576">
        <f>G41</f>
        <v>0</v>
      </c>
      <c r="U41" s="3576"/>
      <c r="V41" s="3576">
        <f>I41</f>
        <v>0</v>
      </c>
      <c r="W41" s="3576"/>
      <c r="X41" s="1496"/>
      <c r="Y41" s="1515"/>
      <c r="Z41" s="1496"/>
      <c r="AA41" s="1496"/>
      <c r="AB41" s="1496"/>
      <c r="AC41" s="1496"/>
    </row>
    <row r="42" spans="1:29" ht="15.75" thickBot="1">
      <c r="A42" s="608" t="s">
        <v>2741</v>
      </c>
      <c r="B42" s="876"/>
      <c r="C42" s="2475" t="e">
        <f>R43</f>
        <v>#DIV/0!</v>
      </c>
      <c r="D42" s="3013" t="s">
        <v>2969</v>
      </c>
      <c r="E42" s="2476" t="e">
        <f>R42</f>
        <v>#DIV/0!</v>
      </c>
      <c r="F42" s="3014"/>
      <c r="G42" s="2475" t="e">
        <f>T42</f>
        <v>#DIV/0!</v>
      </c>
      <c r="H42" s="3014"/>
      <c r="I42" s="2476" t="e">
        <f>V42</f>
        <v>#DIV/0!</v>
      </c>
      <c r="J42" s="3014"/>
      <c r="K42" s="3022">
        <f>F42+H42+J42</f>
        <v>0</v>
      </c>
      <c r="L42" s="2025"/>
      <c r="M42" s="2026"/>
      <c r="N42" s="2015"/>
      <c r="O42" s="2026"/>
      <c r="P42" s="3458" t="str">
        <f>A42</f>
        <v>比较价格（元/平方米）</v>
      </c>
      <c r="Q42" s="3458"/>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1496"/>
      <c r="Y42" s="1496"/>
      <c r="Z42" s="1496"/>
      <c r="AA42" s="1496"/>
      <c r="AB42" s="1496"/>
      <c r="AC42" s="1496"/>
    </row>
    <row r="43" spans="1:29" ht="15.75" thickBot="1">
      <c r="A43" s="612" t="s">
        <v>2904</v>
      </c>
      <c r="B43" s="613"/>
      <c r="C43" s="2477" t="e">
        <f>R43</f>
        <v>#DIV/0!</v>
      </c>
      <c r="D43" s="2477"/>
      <c r="E43" s="2477"/>
      <c r="F43" s="2477"/>
      <c r="G43" s="2477"/>
      <c r="H43" s="2477"/>
      <c r="I43" s="2477"/>
      <c r="J43" s="2477"/>
      <c r="K43" s="1541"/>
      <c r="L43" s="2025"/>
      <c r="M43" s="2026"/>
      <c r="N43" s="2026"/>
      <c r="O43" s="2026"/>
      <c r="P43" s="3455" t="str">
        <f>A43</f>
        <v>估价对象XX用房的比较价格（楼面单价，元/平方米）</v>
      </c>
      <c r="Q43" s="3456"/>
      <c r="R43" s="3575" t="e">
        <f>IF(F1="售价",ROUND(IF(D42="简单平均",AVERAGE(R42:V42),R42*F42+T42*H42+V42*J42),0),ROUND(IF(D42="简单平均",AVERAGE(R42:V42),R42*F42+T42*H42+V42*J42),1))</f>
        <v>#DIV/0!</v>
      </c>
      <c r="S43" s="3575"/>
      <c r="T43" s="3575"/>
      <c r="U43" s="3575"/>
      <c r="V43" s="3575"/>
      <c r="W43" s="3575"/>
      <c r="X43" s="1496"/>
      <c r="Y43" s="1496"/>
      <c r="Z43" s="1496"/>
      <c r="AA43" s="1496"/>
      <c r="AB43" s="1496"/>
      <c r="AC43" s="1496"/>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2021-6</v>
      </c>
      <c r="D52" s="2520">
        <f>EDATE(C52,-1)</f>
        <v>44317</v>
      </c>
      <c r="E52" s="2520">
        <f t="shared" ref="E52:O52" si="16">EDATE(D52,-1)</f>
        <v>44287</v>
      </c>
      <c r="F52" s="2520">
        <f t="shared" si="16"/>
        <v>44256</v>
      </c>
      <c r="G52" s="2520">
        <f t="shared" si="16"/>
        <v>44228</v>
      </c>
      <c r="H52" s="2520">
        <f t="shared" si="16"/>
        <v>44197</v>
      </c>
      <c r="I52" s="2520">
        <f t="shared" si="16"/>
        <v>44166</v>
      </c>
      <c r="J52" s="2520">
        <f t="shared" si="16"/>
        <v>44136</v>
      </c>
      <c r="K52" s="2520">
        <f t="shared" si="16"/>
        <v>44105</v>
      </c>
      <c r="L52" s="2520">
        <f t="shared" si="16"/>
        <v>44075</v>
      </c>
      <c r="M52" s="2520">
        <f t="shared" si="16"/>
        <v>44044</v>
      </c>
      <c r="N52" s="2520">
        <f t="shared" si="16"/>
        <v>44013</v>
      </c>
      <c r="O52" s="2520">
        <f t="shared" si="16"/>
        <v>43983</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2539</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2540</v>
      </c>
      <c r="C76" s="2441" t="s">
        <v>2541</v>
      </c>
      <c r="D76" s="2441" t="s">
        <v>2542</v>
      </c>
      <c r="E76" s="2441" t="s">
        <v>2543</v>
      </c>
      <c r="F76" s="2441" t="s">
        <v>2544</v>
      </c>
      <c r="G76" s="2441" t="s">
        <v>2545</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2538</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IF(B37="元/平方米",C39,ROUND(B2*10000/D3,0))</f>
        <v>#DIV/0!</v>
      </c>
      <c r="C3" s="840" t="s">
        <v>790</v>
      </c>
      <c r="D3" s="839">
        <f>SUMIF('数据-汇总表'!$C19:$C33,D1,'数据-汇总表'!$E19:$E33)</f>
        <v>0</v>
      </c>
      <c r="E3" s="1761" t="s">
        <v>2065</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64" t="s">
        <v>792</v>
      </c>
      <c r="D4" s="3465"/>
      <c r="E4" s="3464" t="s">
        <v>793</v>
      </c>
      <c r="F4" s="3465"/>
      <c r="G4" s="3464" t="s">
        <v>794</v>
      </c>
      <c r="H4" s="3465"/>
      <c r="I4" s="3464" t="s">
        <v>795</v>
      </c>
      <c r="J4" s="3465"/>
      <c r="K4" s="507" t="s">
        <v>796</v>
      </c>
      <c r="L4" s="2014"/>
      <c r="M4" s="2015"/>
      <c r="N4" s="2015"/>
      <c r="O4" s="2015"/>
      <c r="P4" s="3466" t="s">
        <v>797</v>
      </c>
      <c r="Q4" s="3467"/>
      <c r="R4" s="3472" t="s">
        <v>793</v>
      </c>
      <c r="S4" s="3473"/>
      <c r="T4" s="3472" t="s">
        <v>794</v>
      </c>
      <c r="U4" s="3473"/>
      <c r="V4" s="3459" t="s">
        <v>795</v>
      </c>
      <c r="W4" s="3459"/>
      <c r="X4" s="1501"/>
      <c r="Y4" s="3472" t="s">
        <v>797</v>
      </c>
      <c r="Z4" s="3473"/>
      <c r="AA4" s="3461" t="s">
        <v>793</v>
      </c>
      <c r="AB4" s="3462" t="s">
        <v>794</v>
      </c>
      <c r="AC4" s="3461" t="s">
        <v>795</v>
      </c>
    </row>
    <row r="5" spans="1:29" ht="15">
      <c r="A5" s="508"/>
      <c r="B5" s="509"/>
      <c r="C5" s="3480" t="s">
        <v>2898</v>
      </c>
      <c r="D5" s="3481"/>
      <c r="E5" s="3480" t="s">
        <v>2899</v>
      </c>
      <c r="F5" s="3481"/>
      <c r="G5" s="3480" t="s">
        <v>2900</v>
      </c>
      <c r="H5" s="3481"/>
      <c r="I5" s="3480" t="s">
        <v>2901</v>
      </c>
      <c r="J5" s="3481"/>
      <c r="K5" s="507"/>
      <c r="L5" s="2014"/>
      <c r="M5" s="2015"/>
      <c r="N5" s="2015"/>
      <c r="O5" s="2015"/>
      <c r="P5" s="3468"/>
      <c r="Q5" s="3469"/>
      <c r="R5" s="3474"/>
      <c r="S5" s="3475"/>
      <c r="T5" s="3474"/>
      <c r="U5" s="3475"/>
      <c r="V5" s="3459"/>
      <c r="W5" s="3459"/>
      <c r="X5" s="1501"/>
      <c r="Y5" s="3474"/>
      <c r="Z5" s="3475"/>
      <c r="AA5" s="3462"/>
      <c r="AB5" s="3462"/>
      <c r="AC5" s="3462"/>
    </row>
    <row r="6" spans="1:29" ht="15.75" thickBot="1">
      <c r="A6" s="510"/>
      <c r="B6" s="511"/>
      <c r="C6" s="3478" t="s">
        <v>2902</v>
      </c>
      <c r="D6" s="3479"/>
      <c r="E6" s="3482" t="s">
        <v>2902</v>
      </c>
      <c r="F6" s="3483"/>
      <c r="G6" s="3478" t="s">
        <v>2902</v>
      </c>
      <c r="H6" s="3479"/>
      <c r="I6" s="3478" t="s">
        <v>2902</v>
      </c>
      <c r="J6" s="3479"/>
      <c r="K6" s="507" t="s">
        <v>522</v>
      </c>
      <c r="L6" s="2014"/>
      <c r="M6" s="2015"/>
      <c r="N6" s="2015"/>
      <c r="O6" s="2015"/>
      <c r="P6" s="3470"/>
      <c r="Q6" s="3471"/>
      <c r="R6" s="3474"/>
      <c r="S6" s="3475"/>
      <c r="T6" s="3476"/>
      <c r="U6" s="3477"/>
      <c r="V6" s="3459"/>
      <c r="W6" s="3459"/>
      <c r="X6" s="1501"/>
      <c r="Y6" s="3476"/>
      <c r="Z6" s="3477"/>
      <c r="AA6" s="3463"/>
      <c r="AB6" s="3463"/>
      <c r="AC6" s="3463"/>
    </row>
    <row r="7" spans="1:29" s="1202" customFormat="1" ht="15.75" thickBot="1">
      <c r="A7" s="2628"/>
      <c r="B7" s="2635" t="s">
        <v>523</v>
      </c>
      <c r="C7" s="512">
        <f>'数据-取费表'!B2</f>
        <v>44371</v>
      </c>
      <c r="D7" s="513">
        <v>100</v>
      </c>
      <c r="E7" s="514"/>
      <c r="F7" s="515">
        <f>SUMIF(48:48,YEAR(E7)&amp;"-"&amp;MONTH(E7),49:49)</f>
        <v>0</v>
      </c>
      <c r="G7" s="516"/>
      <c r="H7" s="513">
        <f>SUMIF(48:48,YEAR(G7)&amp;"-"&amp;MONTH(G7),49:49)</f>
        <v>0</v>
      </c>
      <c r="I7" s="516"/>
      <c r="J7" s="513">
        <f>SUMIF(48:48,YEAR(I7)&amp;"-"&amp;MONTH(I7),49:49)</f>
        <v>0</v>
      </c>
      <c r="K7" s="517"/>
      <c r="L7" s="2016"/>
      <c r="M7" s="2017"/>
      <c r="N7" s="2017"/>
      <c r="O7" s="2017"/>
      <c r="P7" s="3489" t="s">
        <v>524</v>
      </c>
      <c r="Q7" s="3491"/>
      <c r="R7" s="1502" t="s">
        <v>8</v>
      </c>
      <c r="S7" s="1503">
        <f t="shared" ref="S7:S14" si="0">F7</f>
        <v>0</v>
      </c>
      <c r="T7" s="1502" t="s">
        <v>8</v>
      </c>
      <c r="U7" s="1503">
        <f t="shared" ref="U7:U14" si="1">H7</f>
        <v>0</v>
      </c>
      <c r="V7" s="1502" t="s">
        <v>8</v>
      </c>
      <c r="W7" s="1503">
        <f t="shared" ref="W7:W14"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489" t="s">
        <v>527</v>
      </c>
      <c r="Q8" s="3490"/>
      <c r="R8" s="1502" t="s">
        <v>8</v>
      </c>
      <c r="S8" s="1503">
        <f t="shared" si="0"/>
        <v>0</v>
      </c>
      <c r="T8" s="1502" t="s">
        <v>8</v>
      </c>
      <c r="U8" s="1503">
        <f t="shared" si="1"/>
        <v>0</v>
      </c>
      <c r="V8" s="1502" t="s">
        <v>8</v>
      </c>
      <c r="W8" s="1503">
        <f t="shared" si="2"/>
        <v>0</v>
      </c>
      <c r="X8" s="1504"/>
      <c r="Y8" s="3489" t="s">
        <v>527</v>
      </c>
      <c r="Z8" s="3490"/>
      <c r="AA8" s="1505" t="e">
        <f t="shared" ref="AA8:AA36" si="3">D8/F8</f>
        <v>#DIV/0!</v>
      </c>
      <c r="AB8" s="1505" t="e">
        <f t="shared" ref="AB8:AB36" si="4">D8/H8</f>
        <v>#DIV/0!</v>
      </c>
      <c r="AC8" s="1505" t="e">
        <f t="shared" ref="AC8:AC36" si="5">D8/J8</f>
        <v>#DIV/0!</v>
      </c>
    </row>
    <row r="9" spans="1:29" s="1202" customFormat="1" ht="15">
      <c r="A9" s="2630"/>
      <c r="B9" s="2637" t="s">
        <v>2737</v>
      </c>
      <c r="C9" s="845"/>
      <c r="D9" s="252">
        <v>100</v>
      </c>
      <c r="E9" s="848"/>
      <c r="F9" s="252">
        <f>SUMIF(53:53,E9,54:54)-SUMIF(53:53,C9,54:54)+100</f>
        <v>100</v>
      </c>
      <c r="G9" s="846"/>
      <c r="H9" s="252">
        <f>SUMIF(53:53,G9,54:54)-SUMIF(53:53,C9,54:54)+100</f>
        <v>100</v>
      </c>
      <c r="I9" s="846"/>
      <c r="J9" s="252">
        <f>SUMIF(53:53,I9,54:54)-SUMIF(53:53,C9,54:54)+100</f>
        <v>100</v>
      </c>
      <c r="K9" s="517"/>
      <c r="L9" s="2016"/>
      <c r="M9" s="2017"/>
      <c r="N9" s="2017"/>
      <c r="O9" s="2018"/>
      <c r="P9" s="3458" t="s">
        <v>529</v>
      </c>
      <c r="Q9" s="1133" t="str">
        <f t="shared" ref="Q9:Q14" si="6">B9</f>
        <v>用途</v>
      </c>
      <c r="R9" s="1502" t="s">
        <v>8</v>
      </c>
      <c r="S9" s="1503">
        <f t="shared" si="0"/>
        <v>100</v>
      </c>
      <c r="T9" s="1502" t="s">
        <v>8</v>
      </c>
      <c r="U9" s="1503">
        <f t="shared" si="1"/>
        <v>100</v>
      </c>
      <c r="V9" s="1502" t="s">
        <v>8</v>
      </c>
      <c r="W9" s="1503">
        <f t="shared" si="2"/>
        <v>100</v>
      </c>
      <c r="X9" s="1504"/>
      <c r="Y9" s="3404"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SUMIF(55:55,E10,56:56)-SUMIF(55:55,C10,56:56)+100</f>
        <v>100</v>
      </c>
      <c r="G10" s="850"/>
      <c r="H10" s="253">
        <f>SUMIF(55:55,G10,56:56)-SUMIF(55:55,C10,56:56)+100</f>
        <v>100</v>
      </c>
      <c r="I10" s="849"/>
      <c r="J10" s="253">
        <f>SUMIF(55:55,I10,56:56)-SUMIF(55:55,C10,56:56)+100</f>
        <v>100</v>
      </c>
      <c r="K10" s="577"/>
      <c r="L10" s="2019"/>
      <c r="M10" s="2058"/>
      <c r="N10" s="2058"/>
      <c r="O10" s="2020"/>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3"/>
      <c r="B11" s="2639">
        <v>111</v>
      </c>
      <c r="C11" s="521"/>
      <c r="D11" s="253">
        <v>100</v>
      </c>
      <c r="E11" s="521"/>
      <c r="F11" s="253">
        <f>SUMIF(57:57,E11,58:58)-SUMIF(57:57,C11,58:58)+100</f>
        <v>100</v>
      </c>
      <c r="G11" s="521"/>
      <c r="H11" s="253">
        <f>SUMIF(57:57,G11,58:58)-SUMIF(57:57,C11,58:58)+100</f>
        <v>100</v>
      </c>
      <c r="I11" s="521"/>
      <c r="J11" s="253">
        <f>SUMIF(57:57,I11,58:58)-SUMIF(57:57,C11,58:58)+100</f>
        <v>100</v>
      </c>
      <c r="K11" s="574"/>
      <c r="L11" s="2021"/>
      <c r="M11" s="2015"/>
      <c r="N11" s="2015"/>
      <c r="O11" s="2022"/>
      <c r="P11" s="3458"/>
      <c r="Q11" s="1133">
        <f t="shared" si="6"/>
        <v>111</v>
      </c>
      <c r="R11" s="1502" t="s">
        <v>8</v>
      </c>
      <c r="S11" s="1503">
        <f t="shared" si="0"/>
        <v>100</v>
      </c>
      <c r="T11" s="1502" t="s">
        <v>8</v>
      </c>
      <c r="U11" s="1503">
        <f t="shared" si="1"/>
        <v>100</v>
      </c>
      <c r="V11" s="1502" t="s">
        <v>8</v>
      </c>
      <c r="W11" s="1503">
        <f t="shared" si="2"/>
        <v>100</v>
      </c>
      <c r="X11" s="1504"/>
      <c r="Y11" s="3404"/>
      <c r="Z11" s="1132">
        <f t="shared" si="7"/>
        <v>111</v>
      </c>
      <c r="AA11" s="1505">
        <f t="shared" si="3"/>
        <v>1</v>
      </c>
      <c r="AB11" s="1505">
        <f t="shared" si="4"/>
        <v>1</v>
      </c>
      <c r="AC11" s="1505">
        <f t="shared" si="5"/>
        <v>1</v>
      </c>
    </row>
    <row r="12" spans="1:29" s="1202" customFormat="1" ht="15">
      <c r="A12" s="2633"/>
      <c r="B12" s="2639">
        <v>111</v>
      </c>
      <c r="C12" s="521"/>
      <c r="D12" s="531">
        <v>100</v>
      </c>
      <c r="E12" s="521"/>
      <c r="F12" s="253">
        <f>SUMIF(59:59,E12,60:60)-SUMIF(59:59,C12,60:60)+100</f>
        <v>100</v>
      </c>
      <c r="G12" s="521"/>
      <c r="H12" s="253">
        <f>SUMIF(59:59,G12,60:60)-SUMIF(59:59,C12,60:60)+100</f>
        <v>100</v>
      </c>
      <c r="I12" s="521"/>
      <c r="J12" s="253">
        <f>SUMIF(59:59,I12,60:60)-SUMIF(59:59,C12,60:60)+100</f>
        <v>100</v>
      </c>
      <c r="K12" s="574"/>
      <c r="L12" s="2016"/>
      <c r="M12" s="2017"/>
      <c r="N12" s="2017"/>
      <c r="O12" s="2018"/>
      <c r="P12" s="3458"/>
      <c r="Q12" s="1133">
        <f t="shared" si="6"/>
        <v>111</v>
      </c>
      <c r="R12" s="1502" t="s">
        <v>8</v>
      </c>
      <c r="S12" s="1503">
        <f t="shared" si="0"/>
        <v>100</v>
      </c>
      <c r="T12" s="1502" t="s">
        <v>8</v>
      </c>
      <c r="U12" s="1503">
        <f t="shared" si="1"/>
        <v>100</v>
      </c>
      <c r="V12" s="1502" t="s">
        <v>8</v>
      </c>
      <c r="W12" s="1503">
        <f t="shared" si="2"/>
        <v>100</v>
      </c>
      <c r="X12" s="1504"/>
      <c r="Y12" s="3404"/>
      <c r="Z12" s="1132">
        <f t="shared" si="7"/>
        <v>111</v>
      </c>
      <c r="AA12" s="1505">
        <f>D12/F12</f>
        <v>1</v>
      </c>
      <c r="AB12" s="1505">
        <f>D12/H12</f>
        <v>1</v>
      </c>
      <c r="AC12" s="1505">
        <f>D12/J12</f>
        <v>1</v>
      </c>
    </row>
    <row r="13" spans="1:29" ht="15.75" thickBot="1">
      <c r="A13" s="2634"/>
      <c r="B13" s="2640">
        <v>111</v>
      </c>
      <c r="C13" s="532"/>
      <c r="D13" s="533">
        <v>100</v>
      </c>
      <c r="E13" s="521"/>
      <c r="F13" s="253">
        <f>SUMIF(61:61,E13,62:62)-SUMIF(61:61,C13,62:62)+100</f>
        <v>100</v>
      </c>
      <c r="G13" s="521"/>
      <c r="H13" s="533">
        <f>SUMIF(61:61,G13,62:62)-SUMIF(61:61,C13,62:62)+100</f>
        <v>100</v>
      </c>
      <c r="I13" s="521"/>
      <c r="J13" s="533">
        <f>SUMIF(61:61,I13,62:62)-SUMIF(61:61,C13,62:62)+100</f>
        <v>100</v>
      </c>
      <c r="K13" s="574"/>
      <c r="L13" s="2023"/>
      <c r="M13" s="2015"/>
      <c r="N13" s="2015"/>
      <c r="O13" s="2022"/>
      <c r="P13" s="3458"/>
      <c r="Q13" s="1133">
        <f t="shared" si="6"/>
        <v>111</v>
      </c>
      <c r="R13" s="1502" t="s">
        <v>8</v>
      </c>
      <c r="S13" s="1503">
        <f t="shared" si="0"/>
        <v>100</v>
      </c>
      <c r="T13" s="1502" t="s">
        <v>8</v>
      </c>
      <c r="U13" s="1503">
        <f t="shared" si="1"/>
        <v>100</v>
      </c>
      <c r="V13" s="1502" t="s">
        <v>8</v>
      </c>
      <c r="W13" s="1503">
        <f t="shared" si="2"/>
        <v>100</v>
      </c>
      <c r="X13" s="1504"/>
      <c r="Y13" s="3404"/>
      <c r="Z13" s="1132">
        <f t="shared" si="7"/>
        <v>111</v>
      </c>
      <c r="AA13" s="1505">
        <f t="shared" si="3"/>
        <v>1</v>
      </c>
      <c r="AB13" s="1505">
        <f t="shared" si="4"/>
        <v>1</v>
      </c>
      <c r="AC13" s="1505">
        <f t="shared" si="5"/>
        <v>1</v>
      </c>
    </row>
    <row r="14" spans="1:29" ht="85.5">
      <c r="A14" s="2626" t="s">
        <v>2735</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492" t="s">
        <v>534</v>
      </c>
      <c r="Q14" s="1506" t="str">
        <f t="shared" si="6"/>
        <v>交通便捷度</v>
      </c>
      <c r="R14" s="1507" t="s">
        <v>8</v>
      </c>
      <c r="S14" s="1508">
        <f t="shared" si="0"/>
        <v>100</v>
      </c>
      <c r="T14" s="1507" t="s">
        <v>8</v>
      </c>
      <c r="U14" s="1508">
        <f t="shared" si="1"/>
        <v>100</v>
      </c>
      <c r="V14" s="1507" t="s">
        <v>8</v>
      </c>
      <c r="W14" s="1508">
        <f t="shared" si="2"/>
        <v>100</v>
      </c>
      <c r="X14" s="1501"/>
      <c r="Y14" s="3492"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3"/>
      <c r="M15" s="2015"/>
      <c r="N15" s="2015"/>
      <c r="O15" s="2022"/>
      <c r="P15" s="3493"/>
      <c r="Q15" s="1506"/>
      <c r="R15" s="1507"/>
      <c r="S15" s="1508"/>
      <c r="T15" s="1507"/>
      <c r="U15" s="1508"/>
      <c r="V15" s="1507"/>
      <c r="W15" s="1508"/>
      <c r="X15" s="1501"/>
      <c r="Y15" s="3493"/>
      <c r="Z15" s="1509"/>
      <c r="AA15" s="1510">
        <v>1</v>
      </c>
      <c r="AB15" s="1510">
        <v>1</v>
      </c>
      <c r="AC15" s="1510">
        <v>1</v>
      </c>
    </row>
    <row r="16" spans="1:29" ht="42.75">
      <c r="A16" s="508"/>
      <c r="B16" s="2446" t="s">
        <v>2528</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493"/>
      <c r="Q16" s="1506" t="str">
        <f>B16</f>
        <v>公共配套设施</v>
      </c>
      <c r="R16" s="1507" t="s">
        <v>8</v>
      </c>
      <c r="S16" s="1508">
        <f>F16</f>
        <v>100</v>
      </c>
      <c r="T16" s="1507" t="s">
        <v>8</v>
      </c>
      <c r="U16" s="1508">
        <f>H16</f>
        <v>100</v>
      </c>
      <c r="V16" s="1507" t="s">
        <v>8</v>
      </c>
      <c r="W16" s="1508">
        <f>J16</f>
        <v>100</v>
      </c>
      <c r="X16" s="1501"/>
      <c r="Y16" s="3493"/>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3"/>
      <c r="M17" s="2015"/>
      <c r="N17" s="2015"/>
      <c r="O17" s="2022"/>
      <c r="P17" s="3493"/>
      <c r="Q17" s="1506"/>
      <c r="R17" s="1507"/>
      <c r="S17" s="1508"/>
      <c r="T17" s="1507"/>
      <c r="U17" s="1508"/>
      <c r="V17" s="1507"/>
      <c r="W17" s="1508"/>
      <c r="X17" s="1501"/>
      <c r="Y17" s="3493"/>
      <c r="Z17" s="1509"/>
      <c r="AA17" s="1510">
        <v>1</v>
      </c>
      <c r="AB17" s="1510">
        <v>1</v>
      </c>
      <c r="AC17" s="1510">
        <v>1</v>
      </c>
    </row>
    <row r="18" spans="1:29" ht="28.5">
      <c r="A18" s="508"/>
      <c r="B18" s="2434" t="s">
        <v>2540</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493"/>
      <c r="Q18" s="2428" t="str">
        <f>B18</f>
        <v>基础设施水平</v>
      </c>
      <c r="R18" s="1507" t="s">
        <v>8</v>
      </c>
      <c r="S18" s="1508">
        <f>F18</f>
        <v>100</v>
      </c>
      <c r="T18" s="1507" t="s">
        <v>8</v>
      </c>
      <c r="U18" s="1508">
        <f>H18</f>
        <v>100</v>
      </c>
      <c r="V18" s="1507" t="s">
        <v>8</v>
      </c>
      <c r="W18" s="1508">
        <f>J18</f>
        <v>100</v>
      </c>
      <c r="X18" s="2430"/>
      <c r="Y18" s="3493"/>
      <c r="Z18" s="2429"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5"/>
      <c r="L19" s="2023"/>
      <c r="M19" s="2015"/>
      <c r="N19" s="2015"/>
      <c r="O19" s="2022"/>
      <c r="P19" s="3493"/>
      <c r="Q19" s="2428"/>
      <c r="R19" s="1507"/>
      <c r="S19" s="1508"/>
      <c r="T19" s="1507"/>
      <c r="U19" s="1508"/>
      <c r="V19" s="1507"/>
      <c r="W19" s="1508"/>
      <c r="X19" s="2430"/>
      <c r="Y19" s="3493"/>
      <c r="Z19" s="2429"/>
      <c r="AA19" s="1510">
        <v>1</v>
      </c>
      <c r="AB19" s="1510">
        <v>1</v>
      </c>
      <c r="AC19" s="1510">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493"/>
      <c r="Q20" s="1506" t="str">
        <f>B20</f>
        <v>自然及人文环境</v>
      </c>
      <c r="R20" s="1507" t="s">
        <v>8</v>
      </c>
      <c r="S20" s="1508">
        <f>F20</f>
        <v>100</v>
      </c>
      <c r="T20" s="1507" t="s">
        <v>8</v>
      </c>
      <c r="U20" s="1508">
        <f>H20</f>
        <v>100</v>
      </c>
      <c r="V20" s="1507" t="s">
        <v>8</v>
      </c>
      <c r="W20" s="1508">
        <f>J20</f>
        <v>100</v>
      </c>
      <c r="X20" s="1501"/>
      <c r="Y20" s="3493"/>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3"/>
      <c r="M21" s="2015"/>
      <c r="N21" s="2015"/>
      <c r="O21" s="2022"/>
      <c r="P21" s="3493"/>
      <c r="Q21" s="1506"/>
      <c r="R21" s="1507"/>
      <c r="S21" s="1508"/>
      <c r="T21" s="1507"/>
      <c r="U21" s="1508"/>
      <c r="V21" s="1507"/>
      <c r="W21" s="1508"/>
      <c r="X21" s="1501"/>
      <c r="Y21" s="3493"/>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493"/>
      <c r="Q22" s="1506" t="str">
        <f>B22</f>
        <v>楼层</v>
      </c>
      <c r="R22" s="1507" t="s">
        <v>8</v>
      </c>
      <c r="S22" s="1508">
        <f>F22</f>
        <v>100</v>
      </c>
      <c r="T22" s="1507" t="s">
        <v>8</v>
      </c>
      <c r="U22" s="1508">
        <f>H22</f>
        <v>100</v>
      </c>
      <c r="V22" s="1507" t="s">
        <v>8</v>
      </c>
      <c r="W22" s="1508">
        <f>J22</f>
        <v>100</v>
      </c>
      <c r="X22" s="1501"/>
      <c r="Y22" s="3493"/>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493"/>
      <c r="Q23" s="1506">
        <f>B23</f>
        <v>111</v>
      </c>
      <c r="R23" s="1507" t="s">
        <v>8</v>
      </c>
      <c r="S23" s="1508">
        <f>F23</f>
        <v>100</v>
      </c>
      <c r="T23" s="1507" t="s">
        <v>8</v>
      </c>
      <c r="U23" s="1508">
        <f>H23</f>
        <v>100</v>
      </c>
      <c r="V23" s="1507" t="s">
        <v>8</v>
      </c>
      <c r="W23" s="1508">
        <f>J23</f>
        <v>100</v>
      </c>
      <c r="X23" s="1501"/>
      <c r="Y23" s="3493"/>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493"/>
      <c r="Q24" s="1506">
        <f t="shared" ref="Q24:Q36" si="11">B24</f>
        <v>111</v>
      </c>
      <c r="R24" s="1507" t="s">
        <v>8</v>
      </c>
      <c r="S24" s="1508">
        <f>F24</f>
        <v>100</v>
      </c>
      <c r="T24" s="1507" t="s">
        <v>8</v>
      </c>
      <c r="U24" s="1508">
        <f>H24</f>
        <v>100</v>
      </c>
      <c r="V24" s="1507" t="s">
        <v>8</v>
      </c>
      <c r="W24" s="1508">
        <f>J24</f>
        <v>100</v>
      </c>
      <c r="X24" s="1501"/>
      <c r="Y24" s="3493"/>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493"/>
      <c r="Q25" s="1133">
        <f t="shared" si="11"/>
        <v>111</v>
      </c>
      <c r="R25" s="1502" t="s">
        <v>8</v>
      </c>
      <c r="S25" s="1503">
        <f>F25</f>
        <v>100</v>
      </c>
      <c r="T25" s="1502" t="s">
        <v>8</v>
      </c>
      <c r="U25" s="1503">
        <f>H25</f>
        <v>100</v>
      </c>
      <c r="V25" s="1502" t="s">
        <v>8</v>
      </c>
      <c r="W25" s="1503">
        <f>J25</f>
        <v>100</v>
      </c>
      <c r="X25" s="1504"/>
      <c r="Y25" s="3493"/>
      <c r="Z25" s="1132">
        <f>Q25</f>
        <v>111</v>
      </c>
      <c r="AA25" s="1510">
        <f>D25/F25</f>
        <v>1</v>
      </c>
      <c r="AB25" s="1510">
        <f>D25/H25</f>
        <v>1</v>
      </c>
      <c r="AC25" s="1510">
        <f>D25/J25</f>
        <v>1</v>
      </c>
    </row>
    <row r="26" spans="1:29" ht="15">
      <c r="A26" s="2623" t="s">
        <v>2736</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494"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5"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3">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495"/>
      <c r="Q27" s="1535" t="str">
        <f t="shared" si="11"/>
        <v>项目停车位配比</v>
      </c>
      <c r="R27" s="1511" t="s">
        <v>8</v>
      </c>
      <c r="S27" s="1512">
        <f t="shared" si="12"/>
        <v>100</v>
      </c>
      <c r="T27" s="1511" t="s">
        <v>8</v>
      </c>
      <c r="U27" s="1512">
        <f t="shared" si="13"/>
        <v>100</v>
      </c>
      <c r="V27" s="1511" t="s">
        <v>8</v>
      </c>
      <c r="W27" s="1512">
        <f t="shared" si="14"/>
        <v>100</v>
      </c>
      <c r="X27" s="1513"/>
      <c r="Y27" s="3495"/>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495"/>
      <c r="Q28" s="1506" t="str">
        <f t="shared" si="11"/>
        <v>公共部分装修</v>
      </c>
      <c r="R28" s="1507" t="s">
        <v>8</v>
      </c>
      <c r="S28" s="1508">
        <f t="shared" si="12"/>
        <v>100</v>
      </c>
      <c r="T28" s="1507" t="s">
        <v>8</v>
      </c>
      <c r="U28" s="1508">
        <f t="shared" si="13"/>
        <v>100</v>
      </c>
      <c r="V28" s="1507" t="s">
        <v>8</v>
      </c>
      <c r="W28" s="1508">
        <f t="shared" si="14"/>
        <v>100</v>
      </c>
      <c r="X28" s="1501"/>
      <c r="Y28" s="3495"/>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495"/>
      <c r="Q29" s="1506" t="str">
        <f t="shared" si="11"/>
        <v>成新率</v>
      </c>
      <c r="R29" s="1507" t="s">
        <v>8</v>
      </c>
      <c r="S29" s="1508" t="e">
        <f t="shared" si="12"/>
        <v>#N/A</v>
      </c>
      <c r="T29" s="1507" t="s">
        <v>8</v>
      </c>
      <c r="U29" s="1508" t="e">
        <f t="shared" si="13"/>
        <v>#N/A</v>
      </c>
      <c r="V29" s="1507" t="s">
        <v>8</v>
      </c>
      <c r="W29" s="1508" t="e">
        <f t="shared" si="14"/>
        <v>#N/A</v>
      </c>
      <c r="X29" s="1501"/>
      <c r="Y29" s="3495"/>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495"/>
      <c r="Q30" s="1506" t="str">
        <f t="shared" si="11"/>
        <v>物业等级</v>
      </c>
      <c r="R30" s="1507" t="s">
        <v>8</v>
      </c>
      <c r="S30" s="1508">
        <f t="shared" si="12"/>
        <v>100</v>
      </c>
      <c r="T30" s="1507" t="s">
        <v>8</v>
      </c>
      <c r="U30" s="1508">
        <f t="shared" si="13"/>
        <v>100</v>
      </c>
      <c r="V30" s="1507" t="s">
        <v>8</v>
      </c>
      <c r="W30" s="1508">
        <f t="shared" si="14"/>
        <v>100</v>
      </c>
      <c r="X30" s="1501"/>
      <c r="Y30" s="3495"/>
      <c r="Z30" s="1509" t="str">
        <f t="shared" si="15"/>
        <v>物业等级</v>
      </c>
      <c r="AA30" s="1510">
        <f t="shared" si="3"/>
        <v>1</v>
      </c>
      <c r="AB30" s="1510">
        <f t="shared" si="4"/>
        <v>1</v>
      </c>
      <c r="AC30" s="1510">
        <f t="shared" si="5"/>
        <v>1</v>
      </c>
    </row>
    <row r="31" spans="1:29" s="1202" customFormat="1" ht="15">
      <c r="A31" s="921"/>
      <c r="B31" s="575" t="s">
        <v>805</v>
      </c>
      <c r="C31" s="868"/>
      <c r="D31" s="253">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495"/>
      <c r="Q31" s="1133" t="str">
        <f t="shared" si="11"/>
        <v>停车位面积</v>
      </c>
      <c r="R31" s="1502" t="s">
        <v>8</v>
      </c>
      <c r="S31" s="1503" t="e">
        <f t="shared" si="12"/>
        <v>#N/A</v>
      </c>
      <c r="T31" s="1502" t="s">
        <v>8</v>
      </c>
      <c r="U31" s="1503" t="e">
        <f t="shared" si="13"/>
        <v>#N/A</v>
      </c>
      <c r="V31" s="1502" t="s">
        <v>8</v>
      </c>
      <c r="W31" s="1503" t="e">
        <f t="shared" si="14"/>
        <v>#N/A</v>
      </c>
      <c r="X31" s="1504"/>
      <c r="Y31" s="3495"/>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495" t="s">
        <v>544</v>
      </c>
      <c r="Q32" s="1506" t="str">
        <f t="shared" si="11"/>
        <v>车位类型</v>
      </c>
      <c r="R32" s="1507" t="s">
        <v>8</v>
      </c>
      <c r="S32" s="1508">
        <f t="shared" si="12"/>
        <v>100</v>
      </c>
      <c r="T32" s="1507" t="s">
        <v>8</v>
      </c>
      <c r="U32" s="1508">
        <f t="shared" si="13"/>
        <v>100</v>
      </c>
      <c r="V32" s="1507" t="s">
        <v>8</v>
      </c>
      <c r="W32" s="1508">
        <f t="shared" si="14"/>
        <v>100</v>
      </c>
      <c r="X32" s="1501"/>
      <c r="Y32" s="3495"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495"/>
      <c r="Q33" s="1506" t="str">
        <f t="shared" si="11"/>
        <v>是否直接入户</v>
      </c>
      <c r="R33" s="1507" t="s">
        <v>8</v>
      </c>
      <c r="S33" s="1508">
        <f t="shared" si="12"/>
        <v>100</v>
      </c>
      <c r="T33" s="1507" t="s">
        <v>8</v>
      </c>
      <c r="U33" s="1508">
        <f t="shared" si="13"/>
        <v>100</v>
      </c>
      <c r="V33" s="1507" t="s">
        <v>8</v>
      </c>
      <c r="W33" s="1508">
        <f t="shared" si="14"/>
        <v>100</v>
      </c>
      <c r="X33" s="1501"/>
      <c r="Y33" s="3495"/>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495"/>
      <c r="Q34" s="1506">
        <f t="shared" si="11"/>
        <v>111</v>
      </c>
      <c r="R34" s="1507" t="s">
        <v>8</v>
      </c>
      <c r="S34" s="1508">
        <f t="shared" si="12"/>
        <v>100</v>
      </c>
      <c r="T34" s="1507" t="s">
        <v>8</v>
      </c>
      <c r="U34" s="1508">
        <f t="shared" si="13"/>
        <v>100</v>
      </c>
      <c r="V34" s="1507" t="s">
        <v>8</v>
      </c>
      <c r="W34" s="1508">
        <f t="shared" si="14"/>
        <v>100</v>
      </c>
      <c r="X34" s="1501"/>
      <c r="Y34" s="3495"/>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495"/>
      <c r="Q35" s="1535">
        <f t="shared" si="11"/>
        <v>111</v>
      </c>
      <c r="R35" s="1511" t="s">
        <v>8</v>
      </c>
      <c r="S35" s="1512">
        <f t="shared" si="12"/>
        <v>100</v>
      </c>
      <c r="T35" s="1511" t="s">
        <v>8</v>
      </c>
      <c r="U35" s="1512">
        <f t="shared" si="13"/>
        <v>100</v>
      </c>
      <c r="V35" s="1511" t="s">
        <v>8</v>
      </c>
      <c r="W35" s="1512">
        <f t="shared" si="14"/>
        <v>100</v>
      </c>
      <c r="X35" s="1513"/>
      <c r="Y35" s="3495"/>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495"/>
      <c r="Q36" s="1506">
        <f t="shared" si="11"/>
        <v>111</v>
      </c>
      <c r="R36" s="1507" t="s">
        <v>8</v>
      </c>
      <c r="S36" s="1508">
        <f t="shared" si="12"/>
        <v>100</v>
      </c>
      <c r="T36" s="1507" t="s">
        <v>8</v>
      </c>
      <c r="U36" s="1508">
        <f t="shared" si="13"/>
        <v>100</v>
      </c>
      <c r="V36" s="1507" t="s">
        <v>8</v>
      </c>
      <c r="W36" s="1508">
        <f t="shared" si="14"/>
        <v>100</v>
      </c>
      <c r="X36" s="1501"/>
      <c r="Y36" s="3495"/>
      <c r="Z36" s="1509">
        <f t="shared" si="15"/>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458" t="str">
        <f>A37</f>
        <v>成交单价</v>
      </c>
      <c r="Q37" s="3458"/>
      <c r="R37" s="3576">
        <f>E37</f>
        <v>0</v>
      </c>
      <c r="S37" s="3576"/>
      <c r="T37" s="3576">
        <f>G37</f>
        <v>0</v>
      </c>
      <c r="U37" s="3576"/>
      <c r="V37" s="3576">
        <f>I37</f>
        <v>0</v>
      </c>
      <c r="W37" s="3576"/>
      <c r="X37" s="1496"/>
      <c r="Y37" s="1515"/>
      <c r="Z37" s="1496"/>
      <c r="AA37" s="1496"/>
      <c r="AB37" s="1496"/>
      <c r="AC37" s="1496"/>
    </row>
    <row r="38" spans="1:29" ht="15.75" thickBot="1">
      <c r="A38" s="608" t="s">
        <v>2741</v>
      </c>
      <c r="B38" s="876"/>
      <c r="C38" s="2475" t="e">
        <f>R39</f>
        <v>#DIV/0!</v>
      </c>
      <c r="D38" s="3013" t="s">
        <v>2969</v>
      </c>
      <c r="E38" s="2476" t="e">
        <f>R38</f>
        <v>#DIV/0!</v>
      </c>
      <c r="F38" s="3014"/>
      <c r="G38" s="2475" t="e">
        <f>T38</f>
        <v>#DIV/0!</v>
      </c>
      <c r="H38" s="3014"/>
      <c r="I38" s="2476" t="e">
        <f>V38</f>
        <v>#DIV/0!</v>
      </c>
      <c r="J38" s="3014"/>
      <c r="K38" s="3022">
        <f>F38+H38+J38</f>
        <v>0</v>
      </c>
      <c r="L38" s="2025"/>
      <c r="M38" s="2026"/>
      <c r="N38" s="2026"/>
      <c r="O38" s="2026"/>
      <c r="P38" s="3458" t="str">
        <f>A38</f>
        <v>比较价格（元/平方米）</v>
      </c>
      <c r="Q38" s="3458"/>
      <c r="R38" s="3576" t="e">
        <f>IF(F1="售价",ROUND(PRODUCT(R37,AA7:AA36),0),ROUND(PRODUCT(R37,AA7:AA36),1))</f>
        <v>#DIV/0!</v>
      </c>
      <c r="S38" s="3576"/>
      <c r="T38" s="3576" t="e">
        <f>IF(F1="售价",ROUND(PRODUCT(T37,AB7:AB36),0),ROUND(PRODUCT(T37,AB7:AB36),1))</f>
        <v>#DIV/0!</v>
      </c>
      <c r="U38" s="3576"/>
      <c r="V38" s="3576" t="e">
        <f>IF(F1="售价",ROUND(PRODUCT(V37,AC7:AC36),0),ROUND(PRODUCT(V37,AC7:AC36),1))</f>
        <v>#DIV/0!</v>
      </c>
      <c r="W38" s="3576"/>
      <c r="X38" s="1496"/>
      <c r="Y38" s="1496"/>
      <c r="Z38" s="1496"/>
      <c r="AA38" s="1496"/>
      <c r="AB38" s="1496"/>
      <c r="AC38" s="1496"/>
    </row>
    <row r="39" spans="1:29" ht="15.75" thickBot="1">
      <c r="A39" s="612" t="s">
        <v>2904</v>
      </c>
      <c r="B39" s="613"/>
      <c r="C39" s="2477" t="e">
        <f>R39</f>
        <v>#DIV/0!</v>
      </c>
      <c r="D39" s="2477"/>
      <c r="E39" s="2477"/>
      <c r="F39" s="2477"/>
      <c r="G39" s="2477"/>
      <c r="H39" s="2477"/>
      <c r="I39" s="2477"/>
      <c r="J39" s="2477"/>
      <c r="K39" s="1541"/>
      <c r="L39" s="2025"/>
      <c r="M39" s="2026"/>
      <c r="N39" s="2026"/>
      <c r="O39" s="2026"/>
      <c r="P39" s="3455" t="str">
        <f>A39</f>
        <v>估价对象XX用房的比较价格（楼面单价，元/平方米）</v>
      </c>
      <c r="Q39" s="3456"/>
      <c r="R39" s="3575" t="e">
        <f>IF(F1="售价",ROUND(IF(D38="简单平均",AVERAGE(R38:W38),R38*F38+T38*H38+V38*J38),0),ROUND(IF(D38="简单平均",AVERAGE(R38:V38),R38*F38+T38*H38+V38*J38),1))</f>
        <v>#DIV/0!</v>
      </c>
      <c r="S39" s="3575"/>
      <c r="T39" s="3575"/>
      <c r="U39" s="3575"/>
      <c r="V39" s="3575"/>
      <c r="W39" s="3575"/>
      <c r="X39" s="1496"/>
      <c r="Y39" s="1496"/>
      <c r="Z39" s="1496"/>
      <c r="AA39" s="1496"/>
      <c r="AB39" s="1496"/>
      <c r="AC39" s="1496"/>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2021-6</v>
      </c>
      <c r="D48" s="2520">
        <f>EDATE(C48,-1)</f>
        <v>44317</v>
      </c>
      <c r="E48" s="2520">
        <f t="shared" ref="E48:O48" si="16">EDATE(D48,-1)</f>
        <v>44287</v>
      </c>
      <c r="F48" s="2520">
        <f t="shared" si="16"/>
        <v>44256</v>
      </c>
      <c r="G48" s="2520">
        <f t="shared" si="16"/>
        <v>44228</v>
      </c>
      <c r="H48" s="2520">
        <f t="shared" si="16"/>
        <v>44197</v>
      </c>
      <c r="I48" s="2520">
        <f t="shared" si="16"/>
        <v>44166</v>
      </c>
      <c r="J48" s="2520">
        <f t="shared" si="16"/>
        <v>44136</v>
      </c>
      <c r="K48" s="2520">
        <f t="shared" si="16"/>
        <v>44105</v>
      </c>
      <c r="L48" s="2520">
        <f t="shared" si="16"/>
        <v>44075</v>
      </c>
      <c r="M48" s="2520">
        <f t="shared" si="16"/>
        <v>44044</v>
      </c>
      <c r="N48" s="2520">
        <f t="shared" si="16"/>
        <v>44013</v>
      </c>
      <c r="O48" s="2520">
        <f t="shared" si="16"/>
        <v>43983</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2539</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2540</v>
      </c>
      <c r="C67" s="2441" t="s">
        <v>2541</v>
      </c>
      <c r="D67" s="2441" t="s">
        <v>2542</v>
      </c>
      <c r="E67" s="2441" t="s">
        <v>2543</v>
      </c>
      <c r="F67" s="2441" t="s">
        <v>2544</v>
      </c>
      <c r="G67" s="2441" t="s">
        <v>2545</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64" t="s">
        <v>792</v>
      </c>
      <c r="D4" s="3465"/>
      <c r="E4" s="3498" t="s">
        <v>793</v>
      </c>
      <c r="F4" s="3499"/>
      <c r="G4" s="3464" t="s">
        <v>794</v>
      </c>
      <c r="H4" s="3465"/>
      <c r="I4" s="3464" t="s">
        <v>795</v>
      </c>
      <c r="J4" s="3465"/>
      <c r="K4" s="507" t="s">
        <v>796</v>
      </c>
      <c r="L4" s="2014"/>
      <c r="M4" s="2015"/>
      <c r="N4" s="2015"/>
      <c r="O4" s="2015"/>
      <c r="P4" s="3466" t="s">
        <v>797</v>
      </c>
      <c r="Q4" s="3467"/>
      <c r="R4" s="3472" t="s">
        <v>793</v>
      </c>
      <c r="S4" s="3473"/>
      <c r="T4" s="3472" t="s">
        <v>794</v>
      </c>
      <c r="U4" s="3473"/>
      <c r="V4" s="3459" t="s">
        <v>795</v>
      </c>
      <c r="W4" s="3459"/>
      <c r="X4" s="1501"/>
      <c r="Y4" s="3472" t="s">
        <v>797</v>
      </c>
      <c r="Z4" s="3473"/>
      <c r="AA4" s="3461" t="s">
        <v>793</v>
      </c>
      <c r="AB4" s="3462" t="s">
        <v>794</v>
      </c>
      <c r="AC4" s="3461" t="s">
        <v>795</v>
      </c>
    </row>
    <row r="5" spans="1:29" ht="15">
      <c r="A5" s="508"/>
      <c r="B5" s="509"/>
      <c r="C5" s="3480" t="s">
        <v>2898</v>
      </c>
      <c r="D5" s="3481"/>
      <c r="E5" s="3500" t="s">
        <v>2899</v>
      </c>
      <c r="F5" s="3501"/>
      <c r="G5" s="3480" t="s">
        <v>2900</v>
      </c>
      <c r="H5" s="3481"/>
      <c r="I5" s="3480" t="s">
        <v>2901</v>
      </c>
      <c r="J5" s="3481"/>
      <c r="K5" s="507"/>
      <c r="L5" s="2014"/>
      <c r="M5" s="2015"/>
      <c r="N5" s="2015"/>
      <c r="O5" s="2015"/>
      <c r="P5" s="3468"/>
      <c r="Q5" s="3469"/>
      <c r="R5" s="3474"/>
      <c r="S5" s="3475"/>
      <c r="T5" s="3474"/>
      <c r="U5" s="3475"/>
      <c r="V5" s="3459"/>
      <c r="W5" s="3459"/>
      <c r="X5" s="1501"/>
      <c r="Y5" s="3474"/>
      <c r="Z5" s="3475"/>
      <c r="AA5" s="3462"/>
      <c r="AB5" s="3462"/>
      <c r="AC5" s="3462"/>
    </row>
    <row r="6" spans="1:29" ht="15.75" thickBot="1">
      <c r="A6" s="510"/>
      <c r="B6" s="511"/>
      <c r="C6" s="3478" t="s">
        <v>2902</v>
      </c>
      <c r="D6" s="3479"/>
      <c r="E6" s="3496" t="s">
        <v>2902</v>
      </c>
      <c r="F6" s="3497"/>
      <c r="G6" s="3478" t="s">
        <v>2902</v>
      </c>
      <c r="H6" s="3479"/>
      <c r="I6" s="3478" t="s">
        <v>2902</v>
      </c>
      <c r="J6" s="3479"/>
      <c r="K6" s="507" t="s">
        <v>522</v>
      </c>
      <c r="L6" s="2014"/>
      <c r="M6" s="2015"/>
      <c r="N6" s="2015"/>
      <c r="O6" s="2015"/>
      <c r="P6" s="3470"/>
      <c r="Q6" s="3471"/>
      <c r="R6" s="3474"/>
      <c r="S6" s="3475"/>
      <c r="T6" s="3476"/>
      <c r="U6" s="3477"/>
      <c r="V6" s="3459"/>
      <c r="W6" s="3459"/>
      <c r="X6" s="1501"/>
      <c r="Y6" s="3476"/>
      <c r="Z6" s="3477"/>
      <c r="AA6" s="3463"/>
      <c r="AB6" s="3463"/>
      <c r="AC6" s="3463"/>
    </row>
    <row r="7" spans="1:29" s="1202" customFormat="1" ht="15.75" thickBot="1">
      <c r="A7" s="2628"/>
      <c r="B7" s="2635" t="s">
        <v>523</v>
      </c>
      <c r="C7" s="512">
        <f>'数据-取费表'!B2</f>
        <v>44371</v>
      </c>
      <c r="D7" s="513">
        <v>100</v>
      </c>
      <c r="E7" s="514"/>
      <c r="F7" s="515">
        <f>SUMIF(46:46,YEAR(E7)&amp;"-"&amp;MONTH(E7),47:47)</f>
        <v>0</v>
      </c>
      <c r="G7" s="516"/>
      <c r="H7" s="513">
        <f>SUMIF(46:46,YEAR(G7)&amp;"-"&amp;MONTH(G7),47:47)</f>
        <v>0</v>
      </c>
      <c r="I7" s="516"/>
      <c r="J7" s="513">
        <f>SUMIF(46:46,YEAR(I7)&amp;"-"&amp;MONTH(I7),47:47)</f>
        <v>0</v>
      </c>
      <c r="K7" s="517"/>
      <c r="L7" s="2016"/>
      <c r="M7" s="2017"/>
      <c r="N7" s="2017"/>
      <c r="O7" s="2017"/>
      <c r="P7" s="3489" t="s">
        <v>524</v>
      </c>
      <c r="Q7" s="3491"/>
      <c r="R7" s="1502" t="s">
        <v>8</v>
      </c>
      <c r="S7" s="1503">
        <f t="shared" ref="S7:S14" si="0">F7</f>
        <v>0</v>
      </c>
      <c r="T7" s="1502" t="s">
        <v>8</v>
      </c>
      <c r="U7" s="1503">
        <f t="shared" ref="U7:U14" si="1">H7</f>
        <v>0</v>
      </c>
      <c r="V7" s="1502" t="s">
        <v>8</v>
      </c>
      <c r="W7" s="1503">
        <f t="shared" ref="W7:W14" si="2">J7</f>
        <v>0</v>
      </c>
      <c r="X7" s="1504"/>
      <c r="Y7" s="3489" t="s">
        <v>524</v>
      </c>
      <c r="Z7" s="3490"/>
      <c r="AA7" s="1505" t="e">
        <f>D7/F7</f>
        <v>#DIV/0!</v>
      </c>
      <c r="AB7" s="1505" t="e">
        <f>D7/H7</f>
        <v>#DIV/0!</v>
      </c>
      <c r="AC7" s="1505"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489" t="s">
        <v>527</v>
      </c>
      <c r="Q8" s="3490"/>
      <c r="R8" s="1502" t="s">
        <v>8</v>
      </c>
      <c r="S8" s="1503">
        <f t="shared" si="0"/>
        <v>0</v>
      </c>
      <c r="T8" s="1502" t="s">
        <v>8</v>
      </c>
      <c r="U8" s="1503">
        <f t="shared" si="1"/>
        <v>0</v>
      </c>
      <c r="V8" s="1502" t="s">
        <v>8</v>
      </c>
      <c r="W8" s="1503">
        <f t="shared" si="2"/>
        <v>0</v>
      </c>
      <c r="X8" s="1504"/>
      <c r="Y8" s="3489" t="s">
        <v>527</v>
      </c>
      <c r="Z8" s="3490"/>
      <c r="AA8" s="1505" t="e">
        <f t="shared" ref="AA8:AA34" si="3">D8/F8</f>
        <v>#DIV/0!</v>
      </c>
      <c r="AB8" s="1505" t="e">
        <f t="shared" ref="AB8:AB34" si="4">D8/H8</f>
        <v>#DIV/0!</v>
      </c>
      <c r="AC8" s="1505" t="e">
        <f t="shared" ref="AC8:AC34" si="5">D8/J8</f>
        <v>#DIV/0!</v>
      </c>
    </row>
    <row r="9" spans="1:29" s="1202" customFormat="1" ht="15">
      <c r="A9" s="2630"/>
      <c r="B9" s="2637" t="s">
        <v>2737</v>
      </c>
      <c r="C9" s="845"/>
      <c r="D9" s="252">
        <v>100</v>
      </c>
      <c r="E9" s="848"/>
      <c r="F9" s="252">
        <f>SUMIF(51:51,E9,52:52)-SUMIF(51:51,C9,52:52)+100</f>
        <v>100</v>
      </c>
      <c r="G9" s="848"/>
      <c r="H9" s="252">
        <f>SUMIF(51:51,G9,52:52)-SUMIF(51:51,C9,52:52)+100</f>
        <v>100</v>
      </c>
      <c r="I9" s="848"/>
      <c r="J9" s="252">
        <f>SUMIF(51:51,I9,52:52)-SUMIF(51:51,C9,52:52)+100</f>
        <v>100</v>
      </c>
      <c r="K9" s="517"/>
      <c r="L9" s="2016"/>
      <c r="M9" s="2017"/>
      <c r="N9" s="2017"/>
      <c r="O9" s="2018"/>
      <c r="P9" s="3458" t="s">
        <v>529</v>
      </c>
      <c r="Q9" s="1133" t="str">
        <f t="shared" ref="Q9:Q14" si="6">B9</f>
        <v>用途</v>
      </c>
      <c r="R9" s="1502" t="s">
        <v>8</v>
      </c>
      <c r="S9" s="1503">
        <f t="shared" si="0"/>
        <v>100</v>
      </c>
      <c r="T9" s="1502" t="s">
        <v>8</v>
      </c>
      <c r="U9" s="1503">
        <f t="shared" si="1"/>
        <v>100</v>
      </c>
      <c r="V9" s="1502" t="s">
        <v>8</v>
      </c>
      <c r="W9" s="1503">
        <f t="shared" si="2"/>
        <v>100</v>
      </c>
      <c r="X9" s="1504"/>
      <c r="Y9" s="3404"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SUMIF(53:53,E10,54:54)-SUMIF(53:53,C10,54:54)+100</f>
        <v>100</v>
      </c>
      <c r="G10" s="850"/>
      <c r="H10" s="253">
        <f>SUMIF(53:53,G10,54:54)-SUMIF(53:53,C10,54:54)+100</f>
        <v>100</v>
      </c>
      <c r="I10" s="849"/>
      <c r="J10" s="253">
        <f>SUMIF(53:53,I10,54:54)-SUMIF(53:53,C10,54:54)+100</f>
        <v>100</v>
      </c>
      <c r="K10" s="577"/>
      <c r="L10" s="2019"/>
      <c r="M10" s="2058"/>
      <c r="N10" s="2058"/>
      <c r="O10" s="2020"/>
      <c r="P10" s="3458"/>
      <c r="Q10" s="1133" t="str">
        <f t="shared" si="6"/>
        <v>土地使用年限（年）</v>
      </c>
      <c r="R10" s="1502" t="s">
        <v>8</v>
      </c>
      <c r="S10" s="1503">
        <f t="shared" si="0"/>
        <v>100</v>
      </c>
      <c r="T10" s="1502" t="s">
        <v>8</v>
      </c>
      <c r="U10" s="1503">
        <f t="shared" si="1"/>
        <v>100</v>
      </c>
      <c r="V10" s="1502" t="s">
        <v>8</v>
      </c>
      <c r="W10" s="1503">
        <f t="shared" si="2"/>
        <v>100</v>
      </c>
      <c r="X10" s="1504"/>
      <c r="Y10" s="3404"/>
      <c r="Z10" s="1132" t="str">
        <f t="shared" si="7"/>
        <v>土地使用年限（年）</v>
      </c>
      <c r="AA10" s="1505">
        <f t="shared" si="3"/>
        <v>1</v>
      </c>
      <c r="AB10" s="1505">
        <f t="shared" si="4"/>
        <v>1</v>
      </c>
      <c r="AC10" s="1505">
        <f t="shared" si="5"/>
        <v>1</v>
      </c>
    </row>
    <row r="11" spans="1:29" ht="15">
      <c r="A11" s="2633"/>
      <c r="B11" s="2639">
        <v>111</v>
      </c>
      <c r="C11" s="521"/>
      <c r="D11" s="253">
        <v>100</v>
      </c>
      <c r="E11" s="868"/>
      <c r="F11" s="253">
        <f>SUMIF(55:55,E11,56:56)-SUMIF(55:55,C11,56:56)+100</f>
        <v>100</v>
      </c>
      <c r="G11" s="868"/>
      <c r="H11" s="253">
        <f>SUMIF(55:55,G11,56:56)-SUMIF(55:55,C11,56:56)+100</f>
        <v>100</v>
      </c>
      <c r="I11" s="868"/>
      <c r="J11" s="253">
        <f>SUMIF(55:55,I11,56:56)-SUMIF(55:55,C11,56:56)+100</f>
        <v>100</v>
      </c>
      <c r="K11" s="574"/>
      <c r="L11" s="2021"/>
      <c r="M11" s="2015"/>
      <c r="N11" s="2015"/>
      <c r="O11" s="2022"/>
      <c r="P11" s="3458"/>
      <c r="Q11" s="1133">
        <f t="shared" si="6"/>
        <v>111</v>
      </c>
      <c r="R11" s="1502" t="s">
        <v>8</v>
      </c>
      <c r="S11" s="1503">
        <f t="shared" si="0"/>
        <v>100</v>
      </c>
      <c r="T11" s="1502" t="s">
        <v>8</v>
      </c>
      <c r="U11" s="1503">
        <f t="shared" si="1"/>
        <v>100</v>
      </c>
      <c r="V11" s="1502" t="s">
        <v>8</v>
      </c>
      <c r="W11" s="1503">
        <f t="shared" si="2"/>
        <v>100</v>
      </c>
      <c r="X11" s="1504"/>
      <c r="Y11" s="3404"/>
      <c r="Z11" s="1132">
        <f t="shared" si="7"/>
        <v>111</v>
      </c>
      <c r="AA11" s="1505">
        <f t="shared" si="3"/>
        <v>1</v>
      </c>
      <c r="AB11" s="1505">
        <f t="shared" si="4"/>
        <v>1</v>
      </c>
      <c r="AC11" s="1505">
        <f t="shared" si="5"/>
        <v>1</v>
      </c>
    </row>
    <row r="12" spans="1:29" s="1202" customFormat="1" ht="15">
      <c r="A12" s="2633"/>
      <c r="B12" s="2639">
        <v>111</v>
      </c>
      <c r="C12" s="521"/>
      <c r="D12" s="531">
        <v>100</v>
      </c>
      <c r="E12" s="868"/>
      <c r="F12" s="253">
        <f>SUMIF(57:57,E12,58:58)-SUMIF(57:57,C12,58:58)+100</f>
        <v>100</v>
      </c>
      <c r="G12" s="868"/>
      <c r="H12" s="253">
        <f>SUMIF(57:57,G12,58:58)-SUMIF(57:57,C12,58:58)+100</f>
        <v>100</v>
      </c>
      <c r="I12" s="868"/>
      <c r="J12" s="253">
        <f>SUMIF(57:57,I12,58:58)-SUMIF(57:57,C12,58:58)+100</f>
        <v>100</v>
      </c>
      <c r="K12" s="574"/>
      <c r="L12" s="2016"/>
      <c r="M12" s="2017"/>
      <c r="N12" s="2017"/>
      <c r="O12" s="2018"/>
      <c r="P12" s="3458"/>
      <c r="Q12" s="1133">
        <f t="shared" si="6"/>
        <v>111</v>
      </c>
      <c r="R12" s="1502" t="s">
        <v>8</v>
      </c>
      <c r="S12" s="1503">
        <f t="shared" si="0"/>
        <v>100</v>
      </c>
      <c r="T12" s="1502" t="s">
        <v>8</v>
      </c>
      <c r="U12" s="1503">
        <f t="shared" si="1"/>
        <v>100</v>
      </c>
      <c r="V12" s="1502" t="s">
        <v>8</v>
      </c>
      <c r="W12" s="1503">
        <f t="shared" si="2"/>
        <v>100</v>
      </c>
      <c r="X12" s="1504"/>
      <c r="Y12" s="3404"/>
      <c r="Z12" s="1132">
        <f t="shared" si="7"/>
        <v>111</v>
      </c>
      <c r="AA12" s="1505">
        <f>D12/F12</f>
        <v>1</v>
      </c>
      <c r="AB12" s="1505">
        <f>D12/H12</f>
        <v>1</v>
      </c>
      <c r="AC12" s="1505">
        <f>D12/J12</f>
        <v>1</v>
      </c>
    </row>
    <row r="13" spans="1:29" ht="15.75" thickBot="1">
      <c r="A13" s="2634"/>
      <c r="B13" s="2640">
        <v>111</v>
      </c>
      <c r="C13" s="532"/>
      <c r="D13" s="533">
        <v>100</v>
      </c>
      <c r="E13" s="868"/>
      <c r="F13" s="253">
        <f>SUMIF(59:59,E13,60:60)-SUMIF(59:59,C13,60:60)+100</f>
        <v>100</v>
      </c>
      <c r="G13" s="868"/>
      <c r="H13" s="533">
        <f>SUMIF(59:59,G13,60:60)-SUMIF(59:59,C13,60:60)+100</f>
        <v>100</v>
      </c>
      <c r="I13" s="868"/>
      <c r="J13" s="533">
        <f>SUMIF(59:59,I13,60:60)-SUMIF(59:59,C13,60:60)+100</f>
        <v>100</v>
      </c>
      <c r="K13" s="574"/>
      <c r="L13" s="2023"/>
      <c r="M13" s="2015"/>
      <c r="N13" s="2015"/>
      <c r="O13" s="2022"/>
      <c r="P13" s="3458"/>
      <c r="Q13" s="1133">
        <f t="shared" si="6"/>
        <v>111</v>
      </c>
      <c r="R13" s="1502" t="s">
        <v>8</v>
      </c>
      <c r="S13" s="1503">
        <f t="shared" si="0"/>
        <v>100</v>
      </c>
      <c r="T13" s="1502" t="s">
        <v>8</v>
      </c>
      <c r="U13" s="1503">
        <f t="shared" si="1"/>
        <v>100</v>
      </c>
      <c r="V13" s="1502" t="s">
        <v>8</v>
      </c>
      <c r="W13" s="1503">
        <f t="shared" si="2"/>
        <v>100</v>
      </c>
      <c r="X13" s="1504"/>
      <c r="Y13" s="3404"/>
      <c r="Z13" s="1132">
        <f t="shared" si="7"/>
        <v>111</v>
      </c>
      <c r="AA13" s="1505">
        <f t="shared" si="3"/>
        <v>1</v>
      </c>
      <c r="AB13" s="1505">
        <f t="shared" si="4"/>
        <v>1</v>
      </c>
      <c r="AC13" s="1505">
        <f t="shared" si="5"/>
        <v>1</v>
      </c>
    </row>
    <row r="14" spans="1:29" ht="85.5">
      <c r="A14" s="2626" t="s">
        <v>2735</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492" t="s">
        <v>534</v>
      </c>
      <c r="Q14" s="1506" t="str">
        <f t="shared" si="6"/>
        <v>交通便捷度</v>
      </c>
      <c r="R14" s="1507" t="s">
        <v>8</v>
      </c>
      <c r="S14" s="1508">
        <f t="shared" si="0"/>
        <v>100</v>
      </c>
      <c r="T14" s="1507" t="s">
        <v>8</v>
      </c>
      <c r="U14" s="1508">
        <f t="shared" si="1"/>
        <v>100</v>
      </c>
      <c r="V14" s="1507" t="s">
        <v>8</v>
      </c>
      <c r="W14" s="1508">
        <f t="shared" si="2"/>
        <v>100</v>
      </c>
      <c r="X14" s="1501"/>
      <c r="Y14" s="3492"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3"/>
      <c r="M15" s="2015"/>
      <c r="N15" s="2015"/>
      <c r="O15" s="2022"/>
      <c r="P15" s="3493"/>
      <c r="Q15" s="1506"/>
      <c r="R15" s="1507"/>
      <c r="S15" s="1508"/>
      <c r="T15" s="1507"/>
      <c r="U15" s="1508"/>
      <c r="V15" s="1507"/>
      <c r="W15" s="1508"/>
      <c r="X15" s="1501"/>
      <c r="Y15" s="3493"/>
      <c r="Z15" s="1509"/>
      <c r="AA15" s="1510">
        <v>1</v>
      </c>
      <c r="AB15" s="1510">
        <v>1</v>
      </c>
      <c r="AC15" s="1510">
        <v>1</v>
      </c>
    </row>
    <row r="16" spans="1:29" ht="42.75">
      <c r="A16" s="525"/>
      <c r="B16" s="2446" t="s">
        <v>2528</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493"/>
      <c r="Q16" s="1506" t="str">
        <f>B16</f>
        <v>公共配套设施</v>
      </c>
      <c r="R16" s="1507" t="s">
        <v>8</v>
      </c>
      <c r="S16" s="1508">
        <f>F16</f>
        <v>100</v>
      </c>
      <c r="T16" s="1507" t="s">
        <v>8</v>
      </c>
      <c r="U16" s="1508">
        <f>H16</f>
        <v>100</v>
      </c>
      <c r="V16" s="1507" t="s">
        <v>8</v>
      </c>
      <c r="W16" s="1508">
        <f>J16</f>
        <v>100</v>
      </c>
      <c r="X16" s="1501"/>
      <c r="Y16" s="3493"/>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3"/>
      <c r="M17" s="2015"/>
      <c r="N17" s="2015"/>
      <c r="O17" s="2022"/>
      <c r="P17" s="3493"/>
      <c r="Q17" s="1506"/>
      <c r="R17" s="1507"/>
      <c r="S17" s="1508"/>
      <c r="T17" s="1507"/>
      <c r="U17" s="1508"/>
      <c r="V17" s="1507"/>
      <c r="W17" s="1508"/>
      <c r="X17" s="1501"/>
      <c r="Y17" s="3493"/>
      <c r="Z17" s="1509"/>
      <c r="AA17" s="1510">
        <v>1</v>
      </c>
      <c r="AB17" s="1510">
        <v>1</v>
      </c>
      <c r="AC17" s="1510">
        <v>1</v>
      </c>
    </row>
    <row r="18" spans="1:29" ht="28.5">
      <c r="A18" s="525"/>
      <c r="B18" s="2434" t="s">
        <v>2540</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493"/>
      <c r="Q18" s="2428" t="str">
        <f>B18</f>
        <v>基础设施水平</v>
      </c>
      <c r="R18" s="1507" t="s">
        <v>8</v>
      </c>
      <c r="S18" s="1508">
        <f>F18</f>
        <v>100</v>
      </c>
      <c r="T18" s="1507" t="s">
        <v>8</v>
      </c>
      <c r="U18" s="1508">
        <f>H18</f>
        <v>100</v>
      </c>
      <c r="V18" s="1507" t="s">
        <v>8</v>
      </c>
      <c r="W18" s="1508">
        <f>J18</f>
        <v>100</v>
      </c>
      <c r="X18" s="2430"/>
      <c r="Y18" s="3493"/>
      <c r="Z18" s="2429"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5"/>
      <c r="L19" s="2023"/>
      <c r="M19" s="2015"/>
      <c r="N19" s="2015"/>
      <c r="O19" s="2022"/>
      <c r="P19" s="3493"/>
      <c r="Q19" s="2428"/>
      <c r="R19" s="1507"/>
      <c r="S19" s="1508"/>
      <c r="T19" s="1507"/>
      <c r="U19" s="1508"/>
      <c r="V19" s="1507"/>
      <c r="W19" s="1508"/>
      <c r="X19" s="2430"/>
      <c r="Y19" s="3493"/>
      <c r="Z19" s="2429"/>
      <c r="AA19" s="1510">
        <v>1</v>
      </c>
      <c r="AB19" s="1510">
        <v>1</v>
      </c>
      <c r="AC19" s="1510">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493"/>
      <c r="Q20" s="1506" t="str">
        <f>B20</f>
        <v>自然及人文环境</v>
      </c>
      <c r="R20" s="1507" t="s">
        <v>8</v>
      </c>
      <c r="S20" s="1508">
        <f>F20</f>
        <v>100</v>
      </c>
      <c r="T20" s="1507" t="s">
        <v>8</v>
      </c>
      <c r="U20" s="1508">
        <f>H20</f>
        <v>100</v>
      </c>
      <c r="V20" s="1507" t="s">
        <v>8</v>
      </c>
      <c r="W20" s="1508">
        <f>J20</f>
        <v>100</v>
      </c>
      <c r="X20" s="1501"/>
      <c r="Y20" s="3493"/>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3"/>
      <c r="M21" s="2015"/>
      <c r="N21" s="2015"/>
      <c r="O21" s="2022"/>
      <c r="P21" s="3493"/>
      <c r="Q21" s="1506"/>
      <c r="R21" s="1507"/>
      <c r="S21" s="1508"/>
      <c r="T21" s="1507"/>
      <c r="U21" s="1508"/>
      <c r="V21" s="1507"/>
      <c r="W21" s="1508"/>
      <c r="X21" s="1501"/>
      <c r="Y21" s="3493"/>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493"/>
      <c r="Q22" s="1506" t="str">
        <f>B22</f>
        <v>楼层</v>
      </c>
      <c r="R22" s="1507" t="s">
        <v>8</v>
      </c>
      <c r="S22" s="1508">
        <f>F22</f>
        <v>100</v>
      </c>
      <c r="T22" s="1507" t="s">
        <v>8</v>
      </c>
      <c r="U22" s="1508">
        <f>H22</f>
        <v>100</v>
      </c>
      <c r="V22" s="1507" t="s">
        <v>8</v>
      </c>
      <c r="W22" s="1508">
        <f>J22</f>
        <v>100</v>
      </c>
      <c r="X22" s="1501"/>
      <c r="Y22" s="3493"/>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493"/>
      <c r="Q23" s="1506">
        <f>B23</f>
        <v>111</v>
      </c>
      <c r="R23" s="1507" t="s">
        <v>8</v>
      </c>
      <c r="S23" s="1508">
        <f>F23</f>
        <v>100</v>
      </c>
      <c r="T23" s="1507" t="s">
        <v>8</v>
      </c>
      <c r="U23" s="1508">
        <f>H23</f>
        <v>100</v>
      </c>
      <c r="V23" s="1507" t="s">
        <v>8</v>
      </c>
      <c r="W23" s="1508">
        <f>J23</f>
        <v>100</v>
      </c>
      <c r="X23" s="1501"/>
      <c r="Y23" s="3493"/>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493"/>
      <c r="Q24" s="1506">
        <f t="shared" ref="Q24:Q34" si="11">B24</f>
        <v>111</v>
      </c>
      <c r="R24" s="1507" t="s">
        <v>8</v>
      </c>
      <c r="S24" s="1508">
        <f>F24</f>
        <v>100</v>
      </c>
      <c r="T24" s="1507" t="s">
        <v>8</v>
      </c>
      <c r="U24" s="1508">
        <f>H24</f>
        <v>100</v>
      </c>
      <c r="V24" s="1507" t="s">
        <v>8</v>
      </c>
      <c r="W24" s="1508">
        <f>J24</f>
        <v>100</v>
      </c>
      <c r="X24" s="1501"/>
      <c r="Y24" s="3493"/>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493"/>
      <c r="Q25" s="1133">
        <f t="shared" si="11"/>
        <v>111</v>
      </c>
      <c r="R25" s="1502" t="s">
        <v>8</v>
      </c>
      <c r="S25" s="1503">
        <f>F25</f>
        <v>100</v>
      </c>
      <c r="T25" s="1502" t="s">
        <v>8</v>
      </c>
      <c r="U25" s="1503">
        <f>H25</f>
        <v>100</v>
      </c>
      <c r="V25" s="1502" t="s">
        <v>8</v>
      </c>
      <c r="W25" s="1503">
        <f>J25</f>
        <v>100</v>
      </c>
      <c r="X25" s="1504"/>
      <c r="Y25" s="3493"/>
      <c r="Z25" s="1132">
        <f>Q25</f>
        <v>111</v>
      </c>
      <c r="AA25" s="1510">
        <f>D25/F25</f>
        <v>1</v>
      </c>
      <c r="AB25" s="1510">
        <f>D25/H25</f>
        <v>1</v>
      </c>
      <c r="AC25" s="1510">
        <f>D25/J25</f>
        <v>1</v>
      </c>
    </row>
    <row r="26" spans="1:29" ht="15">
      <c r="A26" s="2623" t="s">
        <v>2736</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494"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5"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3">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495"/>
      <c r="Q27" s="1535" t="str">
        <f t="shared" si="11"/>
        <v>成新率</v>
      </c>
      <c r="R27" s="1511" t="s">
        <v>8</v>
      </c>
      <c r="S27" s="1512" t="e">
        <f t="shared" si="12"/>
        <v>#N/A</v>
      </c>
      <c r="T27" s="1511" t="s">
        <v>8</v>
      </c>
      <c r="U27" s="1512" t="e">
        <f t="shared" si="13"/>
        <v>#N/A</v>
      </c>
      <c r="V27" s="1511" t="s">
        <v>8</v>
      </c>
      <c r="W27" s="1512" t="e">
        <f t="shared" si="14"/>
        <v>#N/A</v>
      </c>
      <c r="X27" s="1513"/>
      <c r="Y27" s="3495"/>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495"/>
      <c r="Q28" s="1506" t="str">
        <f t="shared" si="11"/>
        <v>物业等级</v>
      </c>
      <c r="R28" s="1507" t="s">
        <v>8</v>
      </c>
      <c r="S28" s="1508">
        <f t="shared" si="12"/>
        <v>100</v>
      </c>
      <c r="T28" s="1507" t="s">
        <v>8</v>
      </c>
      <c r="U28" s="1508">
        <f t="shared" si="13"/>
        <v>100</v>
      </c>
      <c r="V28" s="1507" t="s">
        <v>8</v>
      </c>
      <c r="W28" s="1508">
        <f t="shared" si="14"/>
        <v>100</v>
      </c>
      <c r="X28" s="1501"/>
      <c r="Y28" s="3495"/>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495"/>
      <c r="Q29" s="1506" t="str">
        <f t="shared" si="11"/>
        <v>有无电梯</v>
      </c>
      <c r="R29" s="1507" t="s">
        <v>8</v>
      </c>
      <c r="S29" s="1508">
        <f t="shared" si="12"/>
        <v>100</v>
      </c>
      <c r="T29" s="1507" t="s">
        <v>8</v>
      </c>
      <c r="U29" s="1508">
        <f t="shared" si="13"/>
        <v>100</v>
      </c>
      <c r="V29" s="1507" t="s">
        <v>8</v>
      </c>
      <c r="W29" s="1508">
        <f t="shared" si="14"/>
        <v>100</v>
      </c>
      <c r="X29" s="1501"/>
      <c r="Y29" s="3495"/>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495"/>
      <c r="Q30" s="1506" t="str">
        <f t="shared" si="11"/>
        <v>建筑面积</v>
      </c>
      <c r="R30" s="1507" t="s">
        <v>8</v>
      </c>
      <c r="S30" s="1508" t="e">
        <f t="shared" si="12"/>
        <v>#N/A</v>
      </c>
      <c r="T30" s="1507" t="s">
        <v>8</v>
      </c>
      <c r="U30" s="1508" t="e">
        <f t="shared" si="13"/>
        <v>#N/A</v>
      </c>
      <c r="V30" s="1507" t="s">
        <v>8</v>
      </c>
      <c r="W30" s="1508" t="e">
        <f t="shared" si="14"/>
        <v>#N/A</v>
      </c>
      <c r="X30" s="1501"/>
      <c r="Y30" s="3495"/>
      <c r="Z30" s="1509" t="str">
        <f t="shared" si="15"/>
        <v>建筑面积</v>
      </c>
      <c r="AA30" s="1510" t="e">
        <f t="shared" si="3"/>
        <v>#N/A</v>
      </c>
      <c r="AB30" s="1510" t="e">
        <f t="shared" si="4"/>
        <v>#N/A</v>
      </c>
      <c r="AC30" s="1510" t="e">
        <f t="shared" si="5"/>
        <v>#N/A</v>
      </c>
    </row>
    <row r="31" spans="1:29" s="1202" customFormat="1" ht="15">
      <c r="A31" s="593"/>
      <c r="B31" s="520" t="s">
        <v>818</v>
      </c>
      <c r="C31" s="920"/>
      <c r="D31" s="253">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495"/>
      <c r="Q31" s="1133" t="str">
        <f t="shared" si="11"/>
        <v>是否封闭</v>
      </c>
      <c r="R31" s="1502" t="s">
        <v>8</v>
      </c>
      <c r="S31" s="1503">
        <f t="shared" si="12"/>
        <v>100</v>
      </c>
      <c r="T31" s="1502" t="s">
        <v>8</v>
      </c>
      <c r="U31" s="1503">
        <f t="shared" si="13"/>
        <v>100</v>
      </c>
      <c r="V31" s="1502" t="s">
        <v>8</v>
      </c>
      <c r="W31" s="1503">
        <f t="shared" si="14"/>
        <v>100</v>
      </c>
      <c r="X31" s="1504"/>
      <c r="Y31" s="3495"/>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495" t="s">
        <v>544</v>
      </c>
      <c r="Q32" s="1506">
        <f t="shared" si="11"/>
        <v>111</v>
      </c>
      <c r="R32" s="1507" t="s">
        <v>8</v>
      </c>
      <c r="S32" s="1508">
        <f t="shared" si="12"/>
        <v>100</v>
      </c>
      <c r="T32" s="1507" t="s">
        <v>8</v>
      </c>
      <c r="U32" s="1508">
        <f t="shared" si="13"/>
        <v>100</v>
      </c>
      <c r="V32" s="1507" t="s">
        <v>8</v>
      </c>
      <c r="W32" s="1508">
        <f t="shared" si="14"/>
        <v>100</v>
      </c>
      <c r="X32" s="1501"/>
      <c r="Y32" s="3495"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495"/>
      <c r="Q33" s="1506">
        <f t="shared" si="11"/>
        <v>111</v>
      </c>
      <c r="R33" s="1507" t="s">
        <v>8</v>
      </c>
      <c r="S33" s="1508">
        <f t="shared" si="12"/>
        <v>100</v>
      </c>
      <c r="T33" s="1507" t="s">
        <v>8</v>
      </c>
      <c r="U33" s="1508">
        <f t="shared" si="13"/>
        <v>100</v>
      </c>
      <c r="V33" s="1507" t="s">
        <v>8</v>
      </c>
      <c r="W33" s="1508">
        <f t="shared" si="14"/>
        <v>100</v>
      </c>
      <c r="X33" s="1501"/>
      <c r="Y33" s="3495"/>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495"/>
      <c r="Q34" s="1506">
        <f t="shared" si="11"/>
        <v>111</v>
      </c>
      <c r="R34" s="1507" t="s">
        <v>8</v>
      </c>
      <c r="S34" s="1508">
        <f t="shared" si="12"/>
        <v>100</v>
      </c>
      <c r="T34" s="1507" t="s">
        <v>8</v>
      </c>
      <c r="U34" s="1508">
        <f t="shared" si="13"/>
        <v>100</v>
      </c>
      <c r="V34" s="1507" t="s">
        <v>8</v>
      </c>
      <c r="W34" s="1508">
        <f t="shared" si="14"/>
        <v>100</v>
      </c>
      <c r="X34" s="1501"/>
      <c r="Y34" s="3495"/>
      <c r="Z34" s="1509">
        <f t="shared" si="15"/>
        <v>111</v>
      </c>
      <c r="AA34" s="1510">
        <f t="shared" si="3"/>
        <v>1</v>
      </c>
      <c r="AB34" s="1510">
        <f t="shared" si="4"/>
        <v>1</v>
      </c>
      <c r="AC34" s="1510">
        <f t="shared" si="5"/>
        <v>1</v>
      </c>
    </row>
    <row r="35" spans="1:29" ht="15">
      <c r="A35" s="600" t="s">
        <v>730</v>
      </c>
      <c r="B35" s="875"/>
      <c r="C35" s="2469" t="s">
        <v>1</v>
      </c>
      <c r="D35" s="2470"/>
      <c r="E35" s="2471"/>
      <c r="F35" s="2472"/>
      <c r="G35" s="2473"/>
      <c r="H35" s="2474"/>
      <c r="I35" s="2471"/>
      <c r="J35" s="2474"/>
      <c r="K35" s="1540"/>
      <c r="L35" s="2025"/>
      <c r="M35" s="2026"/>
      <c r="N35" s="2015"/>
      <c r="O35" s="2026"/>
      <c r="P35" s="3458" t="str">
        <f>A35</f>
        <v>成交单价（元/平方米）</v>
      </c>
      <c r="Q35" s="3458"/>
      <c r="R35" s="3576">
        <f>E35</f>
        <v>0</v>
      </c>
      <c r="S35" s="3576"/>
      <c r="T35" s="3576">
        <f>G35</f>
        <v>0</v>
      </c>
      <c r="U35" s="3576"/>
      <c r="V35" s="3576">
        <f>I35</f>
        <v>0</v>
      </c>
      <c r="W35" s="3576"/>
      <c r="X35" s="1496"/>
      <c r="Y35" s="1515"/>
      <c r="Z35" s="1496"/>
      <c r="AA35" s="1496"/>
      <c r="AB35" s="1496"/>
      <c r="AC35" s="1496"/>
    </row>
    <row r="36" spans="1:29" ht="15.75" thickBot="1">
      <c r="A36" s="608" t="s">
        <v>2741</v>
      </c>
      <c r="B36" s="876"/>
      <c r="C36" s="2475" t="e">
        <f>R37</f>
        <v>#DIV/0!</v>
      </c>
      <c r="D36" s="3013" t="s">
        <v>2970</v>
      </c>
      <c r="E36" s="2476" t="e">
        <f>R36</f>
        <v>#DIV/0!</v>
      </c>
      <c r="F36" s="3014"/>
      <c r="G36" s="2475" t="e">
        <f>T36</f>
        <v>#DIV/0!</v>
      </c>
      <c r="H36" s="3014"/>
      <c r="I36" s="2476" t="e">
        <f>V36</f>
        <v>#DIV/0!</v>
      </c>
      <c r="J36" s="3014"/>
      <c r="K36" s="3022">
        <f>F36+H36+J36</f>
        <v>0</v>
      </c>
      <c r="L36" s="2025"/>
      <c r="M36" s="2026"/>
      <c r="N36" s="2015"/>
      <c r="O36" s="2026"/>
      <c r="P36" s="3458" t="str">
        <f>A36</f>
        <v>比较价格（元/平方米）</v>
      </c>
      <c r="Q36" s="3458"/>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1496"/>
      <c r="Y36" s="1496"/>
      <c r="Z36" s="1496"/>
      <c r="AA36" s="1496"/>
      <c r="AB36" s="1496"/>
      <c r="AC36" s="1496"/>
    </row>
    <row r="37" spans="1:29" ht="15.75" thickBot="1">
      <c r="A37" s="612" t="s">
        <v>2904</v>
      </c>
      <c r="B37" s="613"/>
      <c r="C37" s="2477" t="e">
        <f>R37</f>
        <v>#DIV/0!</v>
      </c>
      <c r="D37" s="2477"/>
      <c r="E37" s="2477"/>
      <c r="F37" s="2477"/>
      <c r="G37" s="2477"/>
      <c r="H37" s="2477"/>
      <c r="I37" s="2477"/>
      <c r="J37" s="2477"/>
      <c r="K37" s="1541"/>
      <c r="L37" s="2025"/>
      <c r="M37" s="2026"/>
      <c r="N37" s="2026"/>
      <c r="O37" s="2026"/>
      <c r="P37" s="3455" t="str">
        <f>A37</f>
        <v>估价对象XX用房的比较价格（楼面单价，元/平方米）</v>
      </c>
      <c r="Q37" s="3456"/>
      <c r="R37" s="3575" t="e">
        <f>IF(F1="售价",ROUND(IF(D36="简单平均",AVERAGE(R36:W36),R36*F36+T36*H36+V36*J36),0),ROUND(IF(D36="简单平均",AVERAGE(R36:V36),R36*F36+T36*H36+V36*J36),1))</f>
        <v>#DIV/0!</v>
      </c>
      <c r="S37" s="3575"/>
      <c r="T37" s="3575"/>
      <c r="U37" s="3575"/>
      <c r="V37" s="3575"/>
      <c r="W37" s="3575"/>
      <c r="X37" s="1496"/>
      <c r="Y37" s="1496"/>
      <c r="Z37" s="1496"/>
      <c r="AA37" s="1496"/>
      <c r="AB37" s="1496"/>
      <c r="AC37" s="1496"/>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2021-6</v>
      </c>
      <c r="D46" s="2520">
        <f>EDATE(C46,-1)</f>
        <v>44317</v>
      </c>
      <c r="E46" s="2520">
        <f t="shared" ref="E46:O46" si="16">EDATE(D46,-1)</f>
        <v>44287</v>
      </c>
      <c r="F46" s="2520">
        <f t="shared" si="16"/>
        <v>44256</v>
      </c>
      <c r="G46" s="2520">
        <f t="shared" si="16"/>
        <v>44228</v>
      </c>
      <c r="H46" s="2520">
        <f t="shared" si="16"/>
        <v>44197</v>
      </c>
      <c r="I46" s="2520">
        <f t="shared" si="16"/>
        <v>44166</v>
      </c>
      <c r="J46" s="2520">
        <f t="shared" si="16"/>
        <v>44136</v>
      </c>
      <c r="K46" s="2520">
        <f t="shared" si="16"/>
        <v>44105</v>
      </c>
      <c r="L46" s="2520">
        <f t="shared" si="16"/>
        <v>44075</v>
      </c>
      <c r="M46" s="2520">
        <f t="shared" si="16"/>
        <v>44044</v>
      </c>
      <c r="N46" s="2520">
        <f t="shared" si="16"/>
        <v>44013</v>
      </c>
      <c r="O46" s="2520">
        <f t="shared" si="16"/>
        <v>43983</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2539</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2540</v>
      </c>
      <c r="C65" s="2441" t="s">
        <v>2541</v>
      </c>
      <c r="D65" s="2441" t="s">
        <v>2542</v>
      </c>
      <c r="E65" s="2441" t="s">
        <v>2543</v>
      </c>
      <c r="F65" s="2441" t="s">
        <v>2544</v>
      </c>
      <c r="G65" s="2441" t="s">
        <v>2545</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受贵公司委托，我公司对北京市国有建设用地使用权进行了预评估。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0平方米。根据《建设工程规划许可证》[]、《出让合同》[]，估价对象规划建筑面积为9501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2021年6月24日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根据《国有土地使用证》[]，估价对象（分摊）出让国有建设用地使用权面积为0平方米。根据《建设工程规划许可证》[]、《出让合同》[]，估价对象规划建筑面积为9501平方米。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2"/>
      <c r="B1" s="2113" t="s">
        <v>2291</v>
      </c>
      <c r="C1" s="3585" t="s">
        <v>2292</v>
      </c>
      <c r="D1" s="3586"/>
      <c r="E1" s="3586"/>
      <c r="F1" s="3586"/>
      <c r="G1" s="3586"/>
      <c r="H1" s="3586"/>
      <c r="I1" s="3586"/>
      <c r="J1" s="3586"/>
      <c r="K1" s="3586"/>
      <c r="L1" s="3586"/>
      <c r="M1" s="3586"/>
      <c r="N1" s="3586"/>
      <c r="O1" s="3586"/>
      <c r="P1" s="3586"/>
      <c r="Q1" s="3586"/>
      <c r="R1" s="3586"/>
      <c r="S1" s="3587"/>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2897</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2896</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2895</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2908</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2894</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2893</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0</v>
      </c>
      <c r="C22" s="3582" t="s">
        <v>20</v>
      </c>
      <c r="D22" s="3583"/>
      <c r="E22" s="3583"/>
      <c r="F22" s="3583"/>
      <c r="G22" s="3583"/>
      <c r="H22" s="3583"/>
      <c r="I22" s="3583"/>
      <c r="J22" s="3583"/>
      <c r="K22" s="3583"/>
      <c r="L22" s="3583"/>
      <c r="M22" s="3583"/>
      <c r="N22" s="3583"/>
      <c r="O22" s="3583"/>
      <c r="P22" s="3583"/>
      <c r="Q22" s="3584"/>
      <c r="R22" s="483" t="e">
        <f>ROUND(S22*10000/B22,0)</f>
        <v>#DIV/0!</v>
      </c>
      <c r="S22" s="53">
        <f>SUM(S24:S10000)</f>
        <v>0</v>
      </c>
    </row>
    <row r="23" spans="1:45" s="1542" customFormat="1" ht="24">
      <c r="A23" s="17" t="s">
        <v>824</v>
      </c>
      <c r="B23" s="2860"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7">
        <v>1</v>
      </c>
      <c r="D24" s="3278"/>
      <c r="E24" s="3277">
        <v>1</v>
      </c>
      <c r="F24" s="3278"/>
      <c r="G24" s="3277">
        <v>1</v>
      </c>
      <c r="H24" s="3278"/>
      <c r="I24" s="3277">
        <v>1</v>
      </c>
      <c r="J24" s="3278"/>
      <c r="K24" s="3277">
        <v>1</v>
      </c>
      <c r="L24" s="3278"/>
      <c r="M24" s="3277">
        <v>1</v>
      </c>
      <c r="N24" s="3278"/>
      <c r="O24" s="3277">
        <v>1</v>
      </c>
      <c r="P24" s="3278"/>
      <c r="Q24" s="3277">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44371</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1.5</v>
      </c>
      <c r="D2" s="2716" t="s">
        <v>2769</v>
      </c>
      <c r="E2" s="2719">
        <f ca="1">INDIRECT("I"&amp;$I$1)/100</f>
        <v>4.7500000000000001E-2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0</v>
      </c>
      <c r="D3" s="2716" t="s">
        <v>2769</v>
      </c>
      <c r="E3" s="2719">
        <f ca="1">INDIRECT("J"&amp;$J$1)/100</f>
        <v>0</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H8" sqref="H8"/>
    </sheetView>
  </sheetViews>
  <sheetFormatPr defaultRowHeight="13.5"/>
  <sheetData>
    <row r="1" spans="1:8">
      <c r="A1" t="s">
        <v>3015</v>
      </c>
    </row>
    <row r="4" spans="1:8">
      <c r="A4" t="s">
        <v>3016</v>
      </c>
    </row>
    <row r="7" spans="1:8">
      <c r="A7" t="s">
        <v>3017</v>
      </c>
      <c r="H7">
        <v>49999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7" t="s">
        <v>2027</v>
      </c>
      <c r="B1" s="3287"/>
      <c r="C1" s="3287"/>
      <c r="D1" s="3287"/>
      <c r="E1" s="3287"/>
      <c r="F1" s="3287"/>
      <c r="G1" s="3287"/>
      <c r="H1" s="3287"/>
      <c r="I1" s="3287"/>
      <c r="J1" s="3287"/>
      <c r="K1" s="3287"/>
      <c r="L1" s="3287"/>
      <c r="M1" s="3287"/>
      <c r="N1" s="3287"/>
      <c r="O1" s="3287"/>
      <c r="P1" s="3287"/>
      <c r="Q1" s="3287"/>
      <c r="R1" s="3287"/>
    </row>
    <row r="2" spans="1:18">
      <c r="A2" s="1721" t="s">
        <v>2029</v>
      </c>
      <c r="B2" s="1721"/>
      <c r="C2" s="1721"/>
      <c r="D2" s="1721"/>
      <c r="E2" s="1721"/>
      <c r="F2" s="1721"/>
      <c r="G2" s="1721"/>
      <c r="H2" s="1721"/>
      <c r="I2" s="1722"/>
      <c r="J2" s="1722"/>
      <c r="K2" s="1723" t="str">
        <f>"估价期日："&amp;TEXT(项目基本情况!D3,"yyyy年m月d日;;")</f>
        <v>估价期日：2021年6月24日</v>
      </c>
      <c r="L2" s="1721"/>
      <c r="M2" s="1721"/>
      <c r="N2" s="1721"/>
      <c r="O2" s="1721"/>
      <c r="P2" s="1721"/>
      <c r="Q2" s="1721"/>
      <c r="R2" s="1723" t="str">
        <f>"估价期日的国有建设用地使用权性质："&amp;项目基本情况!B16</f>
        <v>估价期日的国有建设用地使用权性质：</v>
      </c>
    </row>
    <row r="3" spans="1:18" ht="23.25" customHeight="1">
      <c r="A3" s="3288" t="s">
        <v>2018</v>
      </c>
      <c r="B3" s="3288" t="s">
        <v>2712</v>
      </c>
      <c r="C3" s="3289" t="s">
        <v>2019</v>
      </c>
      <c r="D3" s="3288" t="s">
        <v>2716</v>
      </c>
      <c r="E3" s="3283" t="s">
        <v>2020</v>
      </c>
      <c r="F3" s="3283"/>
      <c r="G3" s="3283"/>
      <c r="H3" s="3283" t="s">
        <v>2021</v>
      </c>
      <c r="I3" s="3283"/>
      <c r="J3" s="3283"/>
      <c r="K3" s="3289" t="s">
        <v>2022</v>
      </c>
      <c r="L3" s="3289" t="s">
        <v>2023</v>
      </c>
      <c r="M3" s="3288" t="s">
        <v>2713</v>
      </c>
      <c r="N3" s="3290" t="str">
        <f>"（分摊）"&amp;项目基本情况!B16&amp;"国有建设用地使用权面积/㎡"</f>
        <v>（分摊）国有建设用地使用权面积/㎡</v>
      </c>
      <c r="O3" s="3288" t="s">
        <v>2052</v>
      </c>
      <c r="P3" s="3289" t="s">
        <v>2032</v>
      </c>
      <c r="Q3" s="3289" t="s">
        <v>2053</v>
      </c>
      <c r="R3" s="3289" t="s">
        <v>2024</v>
      </c>
    </row>
    <row r="4" spans="1:18" ht="36.75" customHeight="1">
      <c r="A4" s="3288"/>
      <c r="B4" s="3288"/>
      <c r="C4" s="3289"/>
      <c r="D4" s="3288"/>
      <c r="E4" s="2490" t="s">
        <v>2031</v>
      </c>
      <c r="F4" s="2490" t="s">
        <v>2725</v>
      </c>
      <c r="G4" s="2490" t="s">
        <v>2025</v>
      </c>
      <c r="H4" s="2490" t="s">
        <v>2026</v>
      </c>
      <c r="I4" s="2490" t="s">
        <v>2726</v>
      </c>
      <c r="J4" s="2490" t="s">
        <v>2025</v>
      </c>
      <c r="K4" s="3289"/>
      <c r="L4" s="3289"/>
      <c r="M4" s="3288"/>
      <c r="N4" s="3290"/>
      <c r="O4" s="3288"/>
      <c r="P4" s="3289"/>
      <c r="Q4" s="3289"/>
      <c r="R4" s="3289"/>
    </row>
    <row r="5" spans="1:18" ht="135" customHeight="1">
      <c r="A5" s="1856" t="s">
        <v>2636</v>
      </c>
      <c r="B5" s="2583" t="s">
        <v>2634</v>
      </c>
      <c r="C5" s="2489">
        <v>22</v>
      </c>
      <c r="D5" s="2488" t="s">
        <v>2635</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t="str">
        <f>IF(项目基本情况!B16="出让",项目基本情况!D20,"——")</f>
        <v>——</v>
      </c>
      <c r="N5" s="1724">
        <f>项目基本情况!C22</f>
        <v>0</v>
      </c>
      <c r="O5" s="1724">
        <f>项目基本情况!C21</f>
        <v>9501</v>
      </c>
      <c r="P5" s="1724" t="e">
        <f ca="1">结果表!E42</f>
        <v>#DIV/0!</v>
      </c>
      <c r="Q5" s="1724">
        <f ca="1">结果表!D42</f>
        <v>21985</v>
      </c>
      <c r="R5" s="1725">
        <f ca="1">结果表!C42</f>
        <v>20888</v>
      </c>
    </row>
    <row r="6" spans="1:18">
      <c r="A6" s="3284" t="str">
        <f>IF(项目基本情况!B9="市场价格","——","抵押价格")</f>
        <v>抵押价格</v>
      </c>
      <c r="B6" s="3285"/>
      <c r="C6" s="3285"/>
      <c r="D6" s="3285"/>
      <c r="E6" s="3285"/>
      <c r="F6" s="3285"/>
      <c r="G6" s="3285"/>
      <c r="H6" s="3285"/>
      <c r="I6" s="3285"/>
      <c r="J6" s="3285"/>
      <c r="K6" s="3285"/>
      <c r="L6" s="3285"/>
      <c r="M6" s="3285"/>
      <c r="N6" s="3285"/>
      <c r="O6" s="3285"/>
      <c r="P6" s="3285"/>
      <c r="Q6" s="3286"/>
      <c r="R6" s="1726" t="str">
        <f>结果表!O39</f>
        <v>——</v>
      </c>
    </row>
    <row r="7" spans="1:18">
      <c r="A7" s="3284" t="str">
        <f>IF(项目基本情况!B9="市场价格","——",IF(项目基本情况!E8="已注销及未注销","抵押担保权已注销时的抵押价格","——"))</f>
        <v>——</v>
      </c>
      <c r="B7" s="3285"/>
      <c r="C7" s="3285"/>
      <c r="D7" s="3285"/>
      <c r="E7" s="3285"/>
      <c r="F7" s="3285"/>
      <c r="G7" s="3285"/>
      <c r="H7" s="3285"/>
      <c r="I7" s="3285"/>
      <c r="J7" s="3285"/>
      <c r="K7" s="3285"/>
      <c r="L7" s="3285"/>
      <c r="M7" s="3285"/>
      <c r="N7" s="3285"/>
      <c r="O7" s="3285"/>
      <c r="P7" s="3285"/>
      <c r="Q7" s="3286"/>
      <c r="R7" s="1726" t="str">
        <f>结果表!O40</f>
        <v>——</v>
      </c>
    </row>
    <row r="8" spans="1:18">
      <c r="A8" s="3284">
        <f>IF(项目基本情况!B9="市场价格","——",项目基本情况!E9)</f>
        <v>0</v>
      </c>
      <c r="B8" s="3285"/>
      <c r="C8" s="3285"/>
      <c r="D8" s="3285"/>
      <c r="E8" s="3285"/>
      <c r="F8" s="3285"/>
      <c r="G8" s="3285"/>
      <c r="H8" s="3285"/>
      <c r="I8" s="3285"/>
      <c r="J8" s="3285"/>
      <c r="K8" s="3285"/>
      <c r="L8" s="3285"/>
      <c r="M8" s="3285"/>
      <c r="N8" s="3285"/>
      <c r="O8" s="3285"/>
      <c r="P8" s="3285"/>
      <c r="Q8" s="3286"/>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292" t="s">
        <v>2054</v>
      </c>
      <c r="B1" s="3292"/>
      <c r="C1" s="3292"/>
      <c r="D1" s="3292"/>
    </row>
    <row r="2" spans="1:4" ht="47.25" customHeight="1">
      <c r="A2" s="3293" t="str">
        <f>"1.权利限制："&amp;项目基本情况!L24&amp;"未设定租赁等其他他项权利。"</f>
        <v>1.权利限制：根据估价对象《不动产权证书》原件、《国有土地使用权》复印件，截至估价期日，估价对象抵押权未见登记。未设定租赁等其他他项权利。</v>
      </c>
      <c r="B2" s="3293"/>
      <c r="C2" s="3293"/>
      <c r="D2" s="3293"/>
    </row>
    <row r="3" spans="1:4" ht="48" customHeight="1">
      <c r="A3" s="32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2"/>
      <c r="C3" s="3292"/>
      <c r="D3" s="3292"/>
    </row>
    <row r="4" spans="1:4" ht="36.75" customHeight="1">
      <c r="A4" s="3292" t="str">
        <f>"3.估价规划限制条件：详见"&amp;项目基本情况!E21&amp;"。"</f>
        <v>3.估价规划限制条件：详见《建设工程规划许可证》[]、《出让合同》[]。</v>
      </c>
      <c r="B4" s="3292"/>
      <c r="C4" s="3292"/>
      <c r="D4" s="3292"/>
    </row>
    <row r="5" spans="1:4">
      <c r="A5" s="3291" t="s">
        <v>2055</v>
      </c>
      <c r="B5" s="3291"/>
      <c r="C5" s="3291"/>
      <c r="D5" s="3291"/>
    </row>
    <row r="6" spans="1:4">
      <c r="A6" s="3292" t="s">
        <v>2033</v>
      </c>
      <c r="B6" s="3292"/>
      <c r="C6" s="3292"/>
      <c r="D6" s="3292"/>
    </row>
    <row r="7" spans="1:4" ht="33" customHeight="1">
      <c r="A7" s="3292" t="s">
        <v>2556</v>
      </c>
      <c r="B7" s="3292"/>
      <c r="C7" s="3292"/>
      <c r="D7" s="3292"/>
    </row>
    <row r="8" spans="1:4" ht="32.25" customHeight="1">
      <c r="A8" s="3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2"/>
      <c r="C8" s="3292"/>
      <c r="D8" s="3292"/>
    </row>
    <row r="9" spans="1:4" ht="33.75" customHeight="1">
      <c r="A9" s="3292" t="str">
        <f>IF(项目基本情况!B8="抵押","3.抵押双方在办理抵押登记手续时，应使用本公司出具的正式《土地估价报告》，特提请报告使用者注意。","——")</f>
        <v>——</v>
      </c>
      <c r="B9" s="3292"/>
      <c r="C9" s="3292"/>
      <c r="D9" s="3292"/>
    </row>
    <row r="10" spans="1:4">
      <c r="A10" s="3292" t="str">
        <f>IF(项目基本情况!B8="抵押","4.估价师所知悉的法定优先受偿款情况为：","——")</f>
        <v>——</v>
      </c>
      <c r="B10" s="3292"/>
      <c r="C10" s="3292"/>
      <c r="D10" s="3292"/>
    </row>
    <row r="11" spans="1:4" ht="37.5" customHeight="1">
      <c r="A11" s="3294" t="str">
        <f>IF(项目基本情况!B8="抵押","（1）"&amp;CONCATENATE(项目基本情况!L24,项目基本情况!L25,项目基本情况!L26),"——")</f>
        <v>——</v>
      </c>
      <c r="B11" s="3294"/>
      <c r="C11" s="3294"/>
      <c r="D11" s="3294"/>
    </row>
    <row r="12" spans="1:4" ht="168" customHeight="1">
      <c r="A12" s="3291" t="s">
        <v>2057</v>
      </c>
      <c r="B12" s="3291"/>
      <c r="C12" s="3291"/>
      <c r="D12" s="3291"/>
    </row>
    <row r="13" spans="1:4">
      <c r="A13" s="3295" t="s">
        <v>2727</v>
      </c>
      <c r="B13" s="3295"/>
      <c r="C13" s="3295"/>
      <c r="D13" s="3295"/>
    </row>
    <row r="14" spans="1:4">
      <c r="A14" s="3294" t="str">
        <f>IF(项目基本情况!B8="抵押","综上，"&amp;结果表!K47,"——")</f>
        <v>——</v>
      </c>
      <c r="B14" s="3294"/>
      <c r="C14" s="3294"/>
      <c r="D14" s="3294"/>
    </row>
    <row r="15" spans="1:4" ht="58.5" customHeight="1">
      <c r="A15" s="3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2"/>
      <c r="C15" s="3292"/>
      <c r="D15" s="3292"/>
    </row>
    <row r="16" spans="1:4" ht="70.5" customHeight="1">
      <c r="A16" s="3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2"/>
      <c r="C16" s="3292"/>
      <c r="D16" s="3292"/>
    </row>
    <row r="17" spans="1:4">
      <c r="A17" s="3292" t="s">
        <v>2683</v>
      </c>
      <c r="B17" s="3292"/>
      <c r="C17" s="3292"/>
      <c r="D17" s="3292"/>
    </row>
    <row r="18" spans="1:4">
      <c r="A18" s="3292" t="s">
        <v>2675</v>
      </c>
      <c r="B18" s="3292"/>
      <c r="C18" s="3292"/>
      <c r="D18" s="3292"/>
    </row>
    <row r="19" spans="1:4">
      <c r="A19" s="2584" t="s">
        <v>2676</v>
      </c>
      <c r="B19" s="2584" t="s">
        <v>2677</v>
      </c>
      <c r="C19" s="2584" t="s">
        <v>2678</v>
      </c>
      <c r="D19" s="2584" t="s">
        <v>2679</v>
      </c>
    </row>
    <row r="20" spans="1:4">
      <c r="A20" s="2584" t="str">
        <f>项目基本情况!B4</f>
        <v>土地估价师</v>
      </c>
      <c r="B20" s="2584">
        <f>项目基本情况!C4</f>
        <v>0</v>
      </c>
      <c r="C20" s="2586"/>
      <c r="D20" s="1714" t="s">
        <v>2684</v>
      </c>
    </row>
    <row r="21" spans="1:4">
      <c r="A21" s="2584" t="str">
        <f>项目基本情况!D4</f>
        <v>土地估价师</v>
      </c>
      <c r="B21" s="2584">
        <f>项目基本情况!E4</f>
        <v>0</v>
      </c>
      <c r="C21" s="2586"/>
      <c r="D21" s="1714" t="s">
        <v>2685</v>
      </c>
    </row>
    <row r="23" spans="1:4">
      <c r="A23" s="3292" t="s">
        <v>2680</v>
      </c>
      <c r="B23" s="3292"/>
      <c r="C23" s="3292"/>
      <c r="D23" s="3292"/>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03" t="s">
        <v>53</v>
      </c>
      <c r="B15" s="3304" t="s">
        <v>838</v>
      </c>
      <c r="C15" s="3300"/>
    </row>
    <row r="16" spans="1:7" ht="14.25">
      <c r="A16" s="3303"/>
      <c r="B16" s="3301" t="s">
        <v>54</v>
      </c>
      <c r="C16" s="1154" t="s">
        <v>53</v>
      </c>
    </row>
    <row r="17" spans="1:3" ht="14.25">
      <c r="A17" s="3303"/>
      <c r="B17" s="3301"/>
      <c r="C17" s="1154" t="s">
        <v>55</v>
      </c>
    </row>
    <row r="18" spans="1:3" ht="14.25">
      <c r="A18" s="3303"/>
      <c r="B18" s="3301"/>
      <c r="C18" s="1154" t="s">
        <v>56</v>
      </c>
    </row>
    <row r="19" spans="1:3" ht="14.25">
      <c r="A19" s="3303"/>
      <c r="B19" s="3299" t="s">
        <v>57</v>
      </c>
      <c r="C19" s="3300"/>
    </row>
    <row r="20" spans="1:3" ht="14.25">
      <c r="A20" s="1155" t="s">
        <v>58</v>
      </c>
      <c r="B20" s="1156"/>
      <c r="C20" s="1157"/>
    </row>
    <row r="21" spans="1:3" ht="14.25">
      <c r="A21" s="3302" t="s">
        <v>59</v>
      </c>
      <c r="B21" s="3299" t="s">
        <v>60</v>
      </c>
      <c r="C21" s="3300"/>
    </row>
    <row r="22" spans="1:3" ht="14.25">
      <c r="A22" s="3302"/>
      <c r="B22" s="3299" t="s">
        <v>61</v>
      </c>
      <c r="C22" s="3300"/>
    </row>
    <row r="23" spans="1:3" ht="14.25">
      <c r="A23" s="3302"/>
      <c r="B23" s="3299" t="s">
        <v>62</v>
      </c>
      <c r="C23" s="3300"/>
    </row>
    <row r="24" spans="1:3" ht="14.25">
      <c r="A24" s="3302"/>
      <c r="B24" s="3305" t="s">
        <v>63</v>
      </c>
      <c r="C24" s="1158" t="s">
        <v>829</v>
      </c>
    </row>
    <row r="25" spans="1:3" ht="14.25">
      <c r="A25" s="3302"/>
      <c r="B25" s="3306"/>
      <c r="C25" s="1158" t="s">
        <v>830</v>
      </c>
    </row>
    <row r="26" spans="1:3" ht="14.25">
      <c r="A26" s="3302"/>
      <c r="B26" s="3306"/>
      <c r="C26" s="1158" t="s">
        <v>831</v>
      </c>
    </row>
    <row r="27" spans="1:3" ht="14.25">
      <c r="A27" s="3302"/>
      <c r="B27" s="3306"/>
      <c r="C27" s="1158" t="s">
        <v>832</v>
      </c>
    </row>
    <row r="28" spans="1:3" ht="14.25">
      <c r="A28" s="3302"/>
      <c r="B28" s="3306"/>
      <c r="C28" s="1158" t="s">
        <v>833</v>
      </c>
    </row>
    <row r="29" spans="1:3" ht="14.25">
      <c r="A29" s="3302"/>
      <c r="B29" s="3306"/>
      <c r="C29" s="1158" t="s">
        <v>834</v>
      </c>
    </row>
    <row r="30" spans="1:3" ht="14.25">
      <c r="A30" s="3302"/>
      <c r="B30" s="3306"/>
      <c r="C30" s="1158" t="s">
        <v>835</v>
      </c>
    </row>
    <row r="31" spans="1:3" ht="14.25">
      <c r="A31" s="3302"/>
      <c r="B31" s="3306"/>
      <c r="C31" s="1158" t="s">
        <v>836</v>
      </c>
    </row>
    <row r="32" spans="1:3" ht="14.25">
      <c r="A32" s="3302"/>
      <c r="B32" s="3306"/>
      <c r="C32" s="1158" t="s">
        <v>1637</v>
      </c>
    </row>
    <row r="33" spans="1:3" ht="14.25">
      <c r="A33" s="3302"/>
      <c r="B33" s="3296" t="s">
        <v>1643</v>
      </c>
      <c r="C33" s="1158" t="s">
        <v>1638</v>
      </c>
    </row>
    <row r="34" spans="1:3" ht="14.25">
      <c r="A34" s="3302"/>
      <c r="B34" s="3297"/>
      <c r="C34" s="1163" t="s">
        <v>1639</v>
      </c>
    </row>
    <row r="35" spans="1:3" ht="14.25">
      <c r="A35" s="3302"/>
      <c r="B35" s="3297"/>
      <c r="C35" s="1164" t="s">
        <v>1640</v>
      </c>
    </row>
    <row r="36" spans="1:3" ht="14.25">
      <c r="A36" s="3302"/>
      <c r="B36" s="3297"/>
      <c r="C36" s="1164" t="s">
        <v>1641</v>
      </c>
    </row>
    <row r="37" spans="1:3" ht="14.25">
      <c r="A37" s="3302"/>
      <c r="B37" s="3298"/>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44372</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2946</v>
      </c>
      <c r="B12" s="3029">
        <f ca="1">IF(C12&lt;B2,"已过期",1120040230)</f>
        <v>1120040230</v>
      </c>
      <c r="C12" s="3032">
        <v>44864</v>
      </c>
      <c r="D12" s="3040" t="s">
        <v>2947</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2958</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10" t="s">
        <v>1915</v>
      </c>
      <c r="B17" s="3311"/>
      <c r="C17" s="3311"/>
      <c r="D17" s="3311"/>
      <c r="E17" s="3311"/>
      <c r="F17" s="3311"/>
      <c r="G17" s="3033"/>
    </row>
    <row r="18" spans="1:7" ht="20.25" customHeight="1">
      <c r="A18" s="3307" t="s">
        <v>1916</v>
      </c>
      <c r="B18" s="3307"/>
      <c r="C18" s="3308"/>
      <c r="D18" s="3309" t="s">
        <v>1917</v>
      </c>
      <c r="E18" s="3307"/>
      <c r="F18" s="3307"/>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2957</v>
      </c>
      <c r="F21" s="3037">
        <v>44012</v>
      </c>
      <c r="G21" s="3025"/>
    </row>
    <row r="22" spans="1:7" ht="20.25" customHeight="1">
      <c r="A22" s="3024"/>
      <c r="B22" s="3024"/>
      <c r="C22" s="3038"/>
      <c r="D22" s="3046"/>
      <c r="E22" s="3047"/>
      <c r="F22" s="3039" t="s">
        <v>2971</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2922</v>
      </c>
      <c r="C18" s="1492"/>
    </row>
    <row r="19" spans="1:3">
      <c r="A19" s="8" t="s">
        <v>120</v>
      </c>
      <c r="B19" s="2791" t="s">
        <v>2929</v>
      </c>
      <c r="C19" s="1492"/>
    </row>
    <row r="20" spans="1:3">
      <c r="A20" s="8" t="s">
        <v>121</v>
      </c>
      <c r="B20" s="2791"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4"/>
    </row>
    <row r="52" spans="1:5">
      <c r="A52" s="1682" t="s">
        <v>1975</v>
      </c>
      <c r="B52" s="1685" t="s">
        <v>1976</v>
      </c>
      <c r="C52" s="1683" t="s">
        <v>1977</v>
      </c>
      <c r="D52" s="1683" t="s">
        <v>1978</v>
      </c>
      <c r="E52" s="1684"/>
    </row>
    <row r="53" spans="1:5">
      <c r="A53" s="3312"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6月24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4"/>
      <c r="E53" s="1684"/>
    </row>
    <row r="54" spans="1:5">
      <c r="A54" s="3312"/>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4"/>
      <c r="E54" s="1684"/>
    </row>
    <row r="55" spans="1:5">
      <c r="A55" s="3312"/>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4"/>
      <c r="E55" s="1684"/>
    </row>
    <row r="56" spans="1:5">
      <c r="A56" s="3312"/>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4"/>
      <c r="E56" s="1684"/>
    </row>
    <row r="57" spans="1:5">
      <c r="A57" s="3312"/>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办公案例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2021-06-25T06:40:32Z</dcterms:modified>
</cp:coreProperties>
</file>