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730" windowHeight="1176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典型户型修正" sheetId="31" state="hidden" r:id="rId32"/>
    <sheet name="基准地价（汇总）" sheetId="76" state="hidden" r:id="rId33"/>
    <sheet name="成本法 (元)" sheetId="69" r:id="rId34"/>
    <sheet name="基准地价修正" sheetId="43" r:id="rId35"/>
    <sheet name="修正" sheetId="45" state="hidden" r:id="rId36"/>
    <sheet name="容积率修正" sheetId="46" r:id="rId37"/>
    <sheet name="成本法（废）" sheetId="11" state="hidden" r:id="rId38"/>
    <sheet name="比较法-商业" sheetId="33" r:id="rId39"/>
    <sheet name="案例" sheetId="80"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 r:id="rId49"/>
  </externalReferences>
  <definedNames>
    <definedName name="_xlnm._FilterDatabase" localSheetId="39" hidden="1">案例!$C$5:$J$29</definedName>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38" hidden="1">'比较法-商业'!$A$1:$L$49</definedName>
    <definedName name="_xlnm._FilterDatabase" localSheetId="24"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38">'比较法-商业'!$A$1:$K$54,'比较法-商业'!$A$57:$M$131</definedName>
    <definedName name="_xlnm.Print_Area" localSheetId="24">'比较法-住宅'!$A$1:$K$54,'比较法-住宅'!$A$57:$M$131</definedName>
    <definedName name="_xlnm.Print_Area" localSheetId="18">成本法!$A$1:$G$57</definedName>
    <definedName name="_xlnm.Print_Area" localSheetId="33">'成本法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4">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'[1]数据-取费表'!$D$41:$D$51</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区片价!$J$1:$J$21</definedName>
    <definedName name="二级分类" localSheetId="39">[1]修正!$C$19:$C$51</definedName>
    <definedName name="二级分类">修正!$C$19:$C$51</definedName>
    <definedName name="法定最高年限" localSheetId="39">[1]定义!$G$1:$G$4</definedName>
    <definedName name="法定最高年限">定义!$G$1:$G$6</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范围判定">定义!$D$1:$D$4</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[1]定义!$R$1:$R$7</definedName>
    <definedName name="基础设施水平">定义!$R$1:$R$6</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区片价!$Q$1:$Q$51</definedName>
    <definedName name="居住社区成熟度" localSheetId="39">[1]定义!$K$1:$K$6</definedName>
    <definedName name="居住社区成熟度">定义!$K$1:$K$6</definedName>
    <definedName name="类别">定义!$J$1:$J$3</definedName>
    <definedName name="临街状况" localSheetId="39">[1]定义!$T$1:$T$5</definedName>
    <definedName name="临街状况">定义!$T$1:$T$5</definedName>
    <definedName name="六级">区片价!$N$1:$N$64</definedName>
    <definedName name="内部装修维护情况" localSheetId="39">[1]定义!$U$1:$U$6</definedName>
    <definedName name="内部装修维护情况">定义!$U$1:$U$6</definedName>
    <definedName name="判定">[1]定义!$D$1:$D$4</definedName>
    <definedName name="七级">区片价!$O$1:$O$45</definedName>
    <definedName name="七通一平" localSheetId="39">[1]修正!$A$8:$A$16</definedName>
    <definedName name="七通一平">修正!$A$8:$A$16</definedName>
    <definedName name="区域土地利用方向" localSheetId="39">[1]定义!$P$1:$P$6</definedName>
    <definedName name="区域土地利用方向">定义!$P$1:$P$6</definedName>
    <definedName name="三级">区片价!$K$1:$K$26</definedName>
    <definedName name="商业层高" localSheetId="39">'[1]比较法-商业售价'!$B$116:$M$116</definedName>
    <definedName name="商业层高">'比较法-商业'!$B$116:$M$116</definedName>
    <definedName name="商业成新度">'比较法-商业'!$B$109:$M$109</definedName>
    <definedName name="商业繁华度" localSheetId="39">[1]定义!$L$1:$L$6</definedName>
    <definedName name="商业繁华度">定义!$L$1:$L$6</definedName>
    <definedName name="商业公共部分装修" localSheetId="39">'[1]比较法-商业售价'!$B$107:$M$107</definedName>
    <definedName name="商业公共部分装修">'比较法-商业'!$B$107:$M$107</definedName>
    <definedName name="商业基础设施水平" localSheetId="39">'[1]比较法-商业售价'!$B$112:$M$112</definedName>
    <definedName name="商业基础设施水平">'比较法-商业'!$B$112:$M$112</definedName>
    <definedName name="商业建筑结构" localSheetId="39">'[1]比较法-商业售价'!$B$105:$M$105</definedName>
    <definedName name="商业建筑结构">'比较法-商业'!$B$105:$M$105</definedName>
    <definedName name="商业交易情况" localSheetId="39">'[1]比较法-商业售价'!$A$61:$M$61</definedName>
    <definedName name="商业交易情况">'比较法-商业'!$A$61:$M$61</definedName>
    <definedName name="商业街名称" localSheetId="39">[1]修正!$C$71:$C$138</definedName>
    <definedName name="商业街名称">修正!$C$71:$C$138</definedName>
    <definedName name="商业进深比" localSheetId="39">'[1]比较法-商业售价'!$B$120:$M$120</definedName>
    <definedName name="商业进深比">'比较法-商业'!$B$120:$M$120</definedName>
    <definedName name="商业类型" localSheetId="39">'[1]比较法-商业售价'!$B$100:$M$100</definedName>
    <definedName name="商业类型">'比较法-商业'!$B$100:$M$100</definedName>
    <definedName name="商业临街状况" localSheetId="39">'[1]比较法-商业售价'!$B$86:$M$86</definedName>
    <definedName name="商业临街状况">'比较法-商业'!$B$86:$M$86</definedName>
    <definedName name="商业楼层" localSheetId="39">'[1]比较法-商业售价'!$B$92:$M$92</definedName>
    <definedName name="商业楼层">'比较法-商业'!$B$92:$M$92</definedName>
    <definedName name="商业内部装修" localSheetId="39">'[1]比较法-商业售价'!$B$122:$M$122</definedName>
    <definedName name="商业内部装修">'比较法-商业'!$B$122:$M$122</definedName>
    <definedName name="商业人流量" localSheetId="39">'[1]比较法-商业售价'!$B$90:$M$90</definedName>
    <definedName name="商业人流量">'比较法-商业'!$B$90:$M$90</definedName>
    <definedName name="商业业态" localSheetId="39">'[1]比较法-商业售价'!$B$114:$M$114</definedName>
    <definedName name="商业业态">'比较法-商业'!$B$114:$M$114</definedName>
    <definedName name="商业用途" localSheetId="39">'[1]比较法-商业售价'!$B$63:$M$63</definedName>
    <definedName name="商业用途">'比较法-商业'!$B$63:$M$63</definedName>
    <definedName name="十二级">区片价!$T$1:$T$8</definedName>
    <definedName name="十级">区片价!$R$1:$R$32</definedName>
    <definedName name="十一级">区片价!$S$1:$S$21</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区片价!$L$1:$L$33</definedName>
    <definedName name="套工道路等级" localSheetId="39">'[1]土地比较法-工业'!$B$96:$M$96</definedName>
    <definedName name="套工道路等级">'土地比较法-工业'!$B$97:$M$97</definedName>
    <definedName name="套工地质条件" localSheetId="39">'[1]土地比较法-工业'!$B$113:$M$113</definedName>
    <definedName name="套工地质条件">'土地比较法-工业'!$B$114:$M$114</definedName>
    <definedName name="套工交易情况" localSheetId="39">'[1]土地比较法-住宅、综合'!$A$72:$M$72</definedName>
    <definedName name="套工交易情况">'土地比较法-住宅、综合'!$A$72:$M$72</definedName>
    <definedName name="套工土地级别" localSheetId="39">'[1]土地比较法-工业'!$B$98:$M$98</definedName>
    <definedName name="套工土地级别">'土地比较法-工业'!$B$99:$M$99</definedName>
    <definedName name="套工用途" localSheetId="39">'[1]土地比较法-工业'!$B$69:$M$69</definedName>
    <definedName name="套工用途">'土地比较法-工业'!$B$70:$M$70</definedName>
    <definedName name="套工宗地开发程度">'土地比较法-工业'!$B$112:$M$112</definedName>
    <definedName name="套工宗地内开发程度">'[1]土地比较法-工业'!$B$111:$M$111</definedName>
    <definedName name="套工宗地形状" localSheetId="39">'[1]土地比较法-工业'!$B$109:$M$109</definedName>
    <definedName name="套工宗地形状">'土地比较法-工业'!$B$110:$M$110</definedName>
    <definedName name="套综道路等级" localSheetId="39">'[1]土地比较法-住宅、综合'!$B$105:$M$105</definedName>
    <definedName name="套综道路等级">'土地比较法-住宅、综合'!$B$105:$M$105</definedName>
    <definedName name="套综工程地质条件" localSheetId="39">'[1]土地比较法-住宅、综合'!$B$124:$M$124</definedName>
    <definedName name="套综工程地质条件">'土地比较法-住宅、综合'!$B$124:$M$124</definedName>
    <definedName name="套综交易情况" localSheetId="39">'[1]土地比较法-住宅、综合'!$A$72:$M$72</definedName>
    <definedName name="套综交易情况">'土地比较法-住宅、综合'!$A$72:$M$72</definedName>
    <definedName name="套综临街宽度及深度" localSheetId="39">'[1]土地比较法-住宅、综合'!$B$120:$M$120</definedName>
    <definedName name="套综临街宽度及深度">'土地比较法-住宅、综合'!$B$120:$M$120</definedName>
    <definedName name="套综土地级别" localSheetId="39">'[1]土地比较法-住宅、综合'!$B$107:$M$107</definedName>
    <definedName name="套综土地级别">'土地比较法-住宅、综合'!$B$107:$M$107</definedName>
    <definedName name="套综用途" localSheetId="39">'[1]土地比较法-住宅、综合'!$B$74:$M$74</definedName>
    <definedName name="套综用途">'土地比较法-住宅、综合'!$B$74:$M$74</definedName>
    <definedName name="套综宗地内开发程度" localSheetId="39">'[1]土地比较法-住宅、综合'!$B$122:$M$122</definedName>
    <definedName name="套综宗地内开发程度">'土地比较法-住宅、综合'!$B$122:$M$122</definedName>
    <definedName name="套综宗地形状" localSheetId="39">'[1]土地比较法-住宅、综合'!$B$118:$M$118</definedName>
    <definedName name="套综宗地形状">'土地比较法-住宅、综合'!$B$118:$M$118</definedName>
    <definedName name="土地估价师">估价师及机构信息!$D$3:$D$24</definedName>
    <definedName name="土地级别" localSheetId="39">[1]定义!$C$1:$C$13</definedName>
    <definedName name="土地级别">定义!$C$1:$C$14</definedName>
    <definedName name="土地利用方向">定义!$P$1:$P$6</definedName>
    <definedName name="土地年限区间" localSheetId="39">[1]定义!$I$1:$I$8</definedName>
    <definedName name="土地年限区间">定义!$I$1:$I$16</definedName>
    <definedName name="位置">定义!$E$2:$E$4</definedName>
    <definedName name="五等判定" localSheetId="39">[1]定义!$W$1:$W$6</definedName>
    <definedName name="五等判定">定义!$W$1:$W$6</definedName>
    <definedName name="五级">区片价!$M$1:$M$41</definedName>
    <definedName name="项目类型" localSheetId="39">'[2]数据-汇总表'!$C$17:$C$26</definedName>
    <definedName name="项目类型" localSheetId="22">'[3]数据-汇总表'!$C$17:$C$26</definedName>
    <definedName name="项目类型">'数据-汇总表'!$C$17:$C$26</definedName>
    <definedName name="写字楼等级" localSheetId="39">'[1]比较法-办公'!$B$113:$M$113</definedName>
    <definedName name="写字楼等级">'比较法-办公'!$B$113:$M$113</definedName>
    <definedName name="一级">区片价!$I$1:$I$6</definedName>
    <definedName name="一修多修正项2" localSheetId="39">[1]典型户型修正!$8:$8</definedName>
    <definedName name="一修多修正项2">典型户型修正!$5:$5</definedName>
    <definedName name="一修多修正项3" localSheetId="39">[1]典型户型修正!$10:$10</definedName>
    <definedName name="一修多修正项3">典型户型修正!$7:$7</definedName>
    <definedName name="一修多修正项4" localSheetId="39">[1]典型户型修正!$12:$12</definedName>
    <definedName name="一修多修正项4">典型户型修正!$9:$9</definedName>
    <definedName name="一修多修正项5" localSheetId="39">[1]典型户型修正!$14:$14</definedName>
    <definedName name="一修多修正项5">典型户型修正!$11:$11</definedName>
    <definedName name="一修多修正项6" localSheetId="39">[1]典型户型修正!$16:$16</definedName>
    <definedName name="一修多修正项6">典型户型修正!$13:$13</definedName>
    <definedName name="一修多修正项7" localSheetId="39">[1]典型户型修正!$18:$18</definedName>
    <definedName name="一修多修正项7">典型户型修正!$15:$15</definedName>
    <definedName name="一修多修正项8" localSheetId="39">[1]典型户型修正!$20:$20</definedName>
    <definedName name="一修多修正项8">典型户型修正!$17:$17</definedName>
    <definedName name="用途明细">定义!$A$1:$A$50</definedName>
    <definedName name="有无电梯" localSheetId="39">'[1]比较法-仓储'!$B$84:$M$84</definedName>
    <definedName name="有无电梯">'比较法-仓储'!$B$84:$M$84</definedName>
    <definedName name="主用途">定义!$F$1:$F$12</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'比较法-住宅'!$B$120:$M$120</definedName>
    <definedName name="注册房地产估价师" localSheetId="39">[1]估价师及机构信息!$A$3:$A$16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B14" i="74" l="1"/>
  <c r="S22" i="80"/>
  <c r="S21" i="80"/>
  <c r="K7" i="80"/>
  <c r="M59" i="33"/>
  <c r="L59" i="33"/>
  <c r="K59" i="33"/>
  <c r="J59" i="33"/>
  <c r="I59" i="33"/>
  <c r="H59" i="33"/>
  <c r="G59" i="33"/>
  <c r="E7" i="33"/>
  <c r="G7" i="33"/>
  <c r="I7" i="33"/>
  <c r="E47" i="33"/>
  <c r="G47" i="33"/>
  <c r="I47" i="33"/>
  <c r="N12" i="80"/>
  <c r="N11" i="80"/>
  <c r="D14" i="9"/>
  <c r="P58" i="33"/>
  <c r="Q58" i="33" s="1"/>
  <c r="R58" i="33" s="1"/>
  <c r="I33" i="33"/>
  <c r="G33" i="33"/>
  <c r="E33" i="33"/>
  <c r="I36" i="33"/>
  <c r="G36" i="33"/>
  <c r="E36" i="33"/>
  <c r="C36" i="33"/>
  <c r="C33" i="33"/>
  <c r="D33" i="43"/>
  <c r="Y6" i="1"/>
  <c r="N6" i="1"/>
  <c r="N19" i="1"/>
  <c r="M4" i="80"/>
  <c r="I7" i="6" s="1"/>
  <c r="F19" i="6"/>
  <c r="D3" i="4"/>
  <c r="P159" i="80"/>
  <c r="P147" i="80"/>
  <c r="P135" i="80"/>
  <c r="G12" i="80"/>
  <c r="G11" i="80"/>
  <c r="G10" i="80"/>
  <c r="G9" i="80"/>
  <c r="G8" i="80"/>
  <c r="G7" i="80"/>
  <c r="G6" i="80"/>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10" i="43"/>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N25" i="79" s="1"/>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L3" i="79" s="1"/>
  <c r="K5" i="79"/>
  <c r="K3" i="79" s="1"/>
  <c r="I5"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Y3" i="79" l="1"/>
  <c r="AC3" i="79"/>
  <c r="U12" i="79"/>
  <c r="R13" i="79"/>
  <c r="V13" i="79"/>
  <c r="S14" i="79"/>
  <c r="S15" i="79"/>
  <c r="U25" i="79"/>
  <c r="T27" i="79"/>
  <c r="U28" i="79"/>
  <c r="AD34" i="79"/>
  <c r="S35" i="79"/>
  <c r="U37" i="79"/>
  <c r="AD38" i="79"/>
  <c r="V3" i="79"/>
  <c r="Z3" i="79"/>
  <c r="U3" i="79"/>
  <c r="R12" i="79"/>
  <c r="V12" i="79"/>
  <c r="S13" i="79"/>
  <c r="T14" i="79"/>
  <c r="W14" i="79" s="1"/>
  <c r="M25" i="79"/>
  <c r="P25" i="79" s="1"/>
  <c r="U36" i="79"/>
  <c r="AD37" i="79"/>
  <c r="S38" i="79"/>
  <c r="S12" i="79"/>
  <c r="U14" i="79"/>
  <c r="U15" i="79"/>
  <c r="S28" i="79"/>
  <c r="T34" i="79"/>
  <c r="U35" i="79"/>
  <c r="AD36" i="79"/>
  <c r="S37" i="79"/>
  <c r="S27" i="79"/>
  <c r="M3" i="79"/>
  <c r="P3" i="79" s="1"/>
  <c r="T3" i="79"/>
  <c r="W3" i="79" s="1"/>
  <c r="U27" i="79"/>
  <c r="AD33" i="79"/>
  <c r="T32" i="79"/>
  <c r="T30" i="79"/>
  <c r="W30" i="79" s="1"/>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2"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AA17" i="71" s="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s="1"/>
  <c r="N24" i="71"/>
  <c r="B24" i="71" s="1"/>
  <c r="B23" i="71" s="1"/>
  <c r="B22" i="71" s="1"/>
  <c r="B21" i="71" s="1"/>
  <c r="B20" i="71" s="1"/>
  <c r="B19" i="71" s="1"/>
  <c r="B18" i="71" s="1"/>
  <c r="B17" i="71" s="1"/>
  <c r="Q24" i="71"/>
  <c r="F24" i="71" s="1"/>
  <c r="F23" i="71" s="1"/>
  <c r="F22" i="71" s="1"/>
  <c r="P24" i="71"/>
  <c r="O24" i="71"/>
  <c r="C24" i="71" s="1"/>
  <c r="Q25" i="71"/>
  <c r="P25" i="71"/>
  <c r="E24"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B65" i="72" s="1"/>
  <c r="A12" i="62"/>
  <c r="B58" i="72" s="1"/>
  <c r="A120" i="9"/>
  <c r="H2" i="52"/>
  <c r="A1" i="52"/>
  <c r="A3" i="53"/>
  <c r="Q26" i="71"/>
  <c r="P26" i="71"/>
  <c r="O26" i="71"/>
  <c r="N26"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s="1"/>
  <c r="AG27" i="71"/>
  <c r="AH27" i="71"/>
  <c r="AD28" i="71"/>
  <c r="AE28" i="71"/>
  <c r="AF28" i="71"/>
  <c r="AG28" i="71"/>
  <c r="AH28" i="71"/>
  <c r="AD29" i="71"/>
  <c r="AE29" i="71"/>
  <c r="AF29" i="71"/>
  <c r="AG29" i="71"/>
  <c r="AH29" i="71"/>
  <c r="AD30" i="71"/>
  <c r="AE30" i="71"/>
  <c r="AF30" i="71" s="1"/>
  <c r="AG30" i="71"/>
  <c r="AH30" i="71"/>
  <c r="AD31" i="71"/>
  <c r="AE31" i="71"/>
  <c r="AF31" i="71" s="1"/>
  <c r="AG31" i="71"/>
  <c r="AH31" i="71"/>
  <c r="AD32" i="71"/>
  <c r="AE32" i="71"/>
  <c r="AF32" i="71"/>
  <c r="AG32" i="71"/>
  <c r="AH32" i="71"/>
  <c r="AD33" i="71"/>
  <c r="AE33" i="71"/>
  <c r="AF33" i="71"/>
  <c r="AG33" i="71"/>
  <c r="AH33" i="71"/>
  <c r="AD34" i="71"/>
  <c r="AE34" i="71"/>
  <c r="AF34" i="71" s="1"/>
  <c r="AG34" i="71"/>
  <c r="AH34" i="71"/>
  <c r="AD35" i="71"/>
  <c r="AE35" i="71"/>
  <c r="AF35" i="71" s="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A18" i="51"/>
  <c r="B13" i="72" s="1"/>
  <c r="B49" i="48"/>
  <c r="B5" i="72" s="1"/>
  <c r="D89" i="71"/>
  <c r="F88" i="71"/>
  <c r="E88" i="71"/>
  <c r="E87" i="71"/>
  <c r="E86" i="71"/>
  <c r="C88" i="71"/>
  <c r="B88" i="71"/>
  <c r="B87" i="71" s="1"/>
  <c r="B86" i="71" s="1"/>
  <c r="F87" i="71"/>
  <c r="F86" i="71" s="1"/>
  <c r="D85" i="71"/>
  <c r="F84" i="71"/>
  <c r="E84" i="71"/>
  <c r="E83" i="71"/>
  <c r="E82" i="71"/>
  <c r="C84" i="71"/>
  <c r="D84" i="71" s="1"/>
  <c r="B84" i="71"/>
  <c r="B83" i="71" s="1"/>
  <c r="B82" i="71" s="1"/>
  <c r="F83" i="71"/>
  <c r="F82" i="71" s="1"/>
  <c r="D81" i="71"/>
  <c r="Q80" i="71"/>
  <c r="P80" i="71"/>
  <c r="O80" i="71"/>
  <c r="N80" i="71"/>
  <c r="F80" i="71"/>
  <c r="V80" i="71" s="1"/>
  <c r="E80" i="71"/>
  <c r="U80" i="71"/>
  <c r="C80" i="71"/>
  <c r="T80" i="71" s="1"/>
  <c r="B80" i="71"/>
  <c r="S80" i="71"/>
  <c r="Q79" i="71"/>
  <c r="P79" i="71"/>
  <c r="O79" i="71"/>
  <c r="N79" i="71"/>
  <c r="B79" i="71"/>
  <c r="B78" i="71"/>
  <c r="Q78" i="71"/>
  <c r="P78" i="71"/>
  <c r="O78" i="71"/>
  <c r="N78" i="71"/>
  <c r="Q77" i="71"/>
  <c r="P77" i="71"/>
  <c r="O77" i="71"/>
  <c r="N77" i="71"/>
  <c r="D77" i="71"/>
  <c r="Q76" i="71"/>
  <c r="P76" i="71"/>
  <c r="O76" i="71"/>
  <c r="N76" i="71"/>
  <c r="F76" i="71"/>
  <c r="V76" i="71"/>
  <c r="E76" i="71"/>
  <c r="E75" i="71" s="1"/>
  <c r="E74" i="71" s="1"/>
  <c r="C76" i="71"/>
  <c r="T76" i="71"/>
  <c r="B76" i="71"/>
  <c r="S76" i="71" s="1"/>
  <c r="Q75" i="71"/>
  <c r="P75" i="71"/>
  <c r="O75" i="71"/>
  <c r="N75" i="71"/>
  <c r="F75" i="71"/>
  <c r="F74" i="71"/>
  <c r="B75" i="71"/>
  <c r="B74" i="71" s="1"/>
  <c r="Q74" i="71"/>
  <c r="P74" i="71"/>
  <c r="O74" i="71"/>
  <c r="N74" i="71"/>
  <c r="Q73" i="71"/>
  <c r="P73" i="71"/>
  <c r="O73" i="71"/>
  <c r="N73" i="71"/>
  <c r="D73" i="71"/>
  <c r="Q72" i="71"/>
  <c r="P72" i="71"/>
  <c r="O72" i="71"/>
  <c r="N72" i="71"/>
  <c r="F72" i="71"/>
  <c r="V72" i="71"/>
  <c r="E72" i="71"/>
  <c r="C72" i="71"/>
  <c r="T72" i="71"/>
  <c r="B72" i="71"/>
  <c r="S72" i="71" s="1"/>
  <c r="Q71" i="71"/>
  <c r="P71" i="71"/>
  <c r="O71" i="71"/>
  <c r="N71" i="71"/>
  <c r="F71" i="71"/>
  <c r="F70" i="71"/>
  <c r="Q70" i="71"/>
  <c r="P70" i="71"/>
  <c r="O70" i="71"/>
  <c r="N70" i="71"/>
  <c r="Q69" i="71"/>
  <c r="P69" i="71"/>
  <c r="O69" i="71"/>
  <c r="N69" i="71"/>
  <c r="D69" i="71"/>
  <c r="F68" i="71"/>
  <c r="F67" i="71" s="1"/>
  <c r="F66" i="71" s="1"/>
  <c r="E68" i="71"/>
  <c r="P68" i="71"/>
  <c r="C68" i="71"/>
  <c r="D68" i="71" s="1"/>
  <c r="B68" i="71"/>
  <c r="D65" i="71"/>
  <c r="Q64" i="71"/>
  <c r="P64" i="71"/>
  <c r="O64" i="71"/>
  <c r="N64" i="71"/>
  <c r="Q63" i="71"/>
  <c r="P63" i="71"/>
  <c r="O63" i="71"/>
  <c r="N63" i="71"/>
  <c r="Q62" i="71"/>
  <c r="P62" i="71"/>
  <c r="O62" i="71"/>
  <c r="N62" i="71"/>
  <c r="Q61" i="71"/>
  <c r="F62" i="71"/>
  <c r="F63" i="71" s="1"/>
  <c r="F64" i="71" s="1"/>
  <c r="V64" i="71"/>
  <c r="P61" i="71"/>
  <c r="E62" i="71" s="1"/>
  <c r="O61" i="71"/>
  <c r="C62" i="7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c r="E59" i="71" s="1"/>
  <c r="E60" i="71" s="1"/>
  <c r="U60" i="71" s="1"/>
  <c r="O57" i="71"/>
  <c r="C58" i="71"/>
  <c r="N57" i="71"/>
  <c r="B58" i="71"/>
  <c r="B59" i="71" s="1"/>
  <c r="B60" i="71" s="1"/>
  <c r="S60" i="71" s="1"/>
  <c r="D57" i="71"/>
  <c r="Q56" i="71"/>
  <c r="P56" i="71"/>
  <c r="O56" i="71"/>
  <c r="N56" i="71"/>
  <c r="Q55" i="71"/>
  <c r="P55" i="71"/>
  <c r="O55" i="71"/>
  <c r="N55" i="71"/>
  <c r="Q54" i="71"/>
  <c r="P54" i="71"/>
  <c r="O54" i="71"/>
  <c r="N54" i="71"/>
  <c r="Q53" i="71"/>
  <c r="F54" i="71"/>
  <c r="F55" i="71" s="1"/>
  <c r="F56" i="71" s="1"/>
  <c r="V56" i="71" s="1"/>
  <c r="P53" i="71"/>
  <c r="E54" i="71"/>
  <c r="E55" i="71" s="1"/>
  <c r="O53" i="71"/>
  <c r="C54" i="71" s="1"/>
  <c r="C55" i="71" s="1"/>
  <c r="N53" i="71"/>
  <c r="B54" i="71"/>
  <c r="B55" i="71"/>
  <c r="B56" i="71" s="1"/>
  <c r="S56" i="71" s="1"/>
  <c r="D53" i="71"/>
  <c r="Q52" i="71"/>
  <c r="P52" i="71"/>
  <c r="O52" i="71"/>
  <c r="N52" i="71"/>
  <c r="Q51" i="71"/>
  <c r="P51" i="71"/>
  <c r="O51" i="71"/>
  <c r="N51" i="71"/>
  <c r="Q50" i="71"/>
  <c r="P50" i="71"/>
  <c r="O50" i="71"/>
  <c r="N50" i="71"/>
  <c r="B51" i="71" s="1"/>
  <c r="B52" i="71" s="1"/>
  <c r="S52" i="71" s="1"/>
  <c r="Q49" i="71"/>
  <c r="F50" i="71" s="1"/>
  <c r="F51" i="71" s="1"/>
  <c r="P49" i="71"/>
  <c r="E50" i="71"/>
  <c r="E51" i="71"/>
  <c r="E52" i="71" s="1"/>
  <c r="U52" i="71" s="1"/>
  <c r="O49" i="71"/>
  <c r="C50" i="71" s="1"/>
  <c r="N49" i="71"/>
  <c r="B50" i="71"/>
  <c r="D49" i="71"/>
  <c r="T48" i="71"/>
  <c r="Q48" i="71"/>
  <c r="P48" i="71"/>
  <c r="O48" i="71"/>
  <c r="N48" i="71"/>
  <c r="D48" i="71"/>
  <c r="Q47" i="71"/>
  <c r="P47" i="71"/>
  <c r="O47" i="71"/>
  <c r="N47" i="71"/>
  <c r="Q46" i="71"/>
  <c r="P46" i="71"/>
  <c r="O46" i="71"/>
  <c r="N46" i="71"/>
  <c r="B47" i="71" s="1"/>
  <c r="B48" i="71" s="1"/>
  <c r="S48" i="71" s="1"/>
  <c r="Q45" i="71"/>
  <c r="F46" i="71" s="1"/>
  <c r="F47" i="71" s="1"/>
  <c r="F48" i="71" s="1"/>
  <c r="V48" i="71" s="1"/>
  <c r="P45" i="71"/>
  <c r="E46" i="71"/>
  <c r="E47" i="71"/>
  <c r="E48" i="71" s="1"/>
  <c r="U48" i="71" s="1"/>
  <c r="O45" i="71"/>
  <c r="C46" i="71" s="1"/>
  <c r="N45" i="71"/>
  <c r="B46" i="71" s="1"/>
  <c r="D45" i="71"/>
  <c r="Q44" i="71"/>
  <c r="P44" i="71"/>
  <c r="O44" i="71"/>
  <c r="N44" i="71"/>
  <c r="Q43" i="71"/>
  <c r="P43" i="71"/>
  <c r="O43" i="71"/>
  <c r="N43" i="71"/>
  <c r="Q42" i="71"/>
  <c r="P42" i="71"/>
  <c r="O42" i="71"/>
  <c r="N42" i="71"/>
  <c r="F42" i="71"/>
  <c r="F43" i="71"/>
  <c r="F44" i="71" s="1"/>
  <c r="V44" i="71" s="1"/>
  <c r="Q41" i="71"/>
  <c r="P41" i="71"/>
  <c r="E42" i="71"/>
  <c r="E43" i="71" s="1"/>
  <c r="E44" i="71" s="1"/>
  <c r="U44" i="71" s="1"/>
  <c r="O41" i="71"/>
  <c r="C42" i="71" s="1"/>
  <c r="N41" i="71"/>
  <c r="B42" i="71" s="1"/>
  <c r="B43" i="71" s="1"/>
  <c r="B44" i="71" s="1"/>
  <c r="S44" i="71" s="1"/>
  <c r="D41" i="71"/>
  <c r="Q40" i="71"/>
  <c r="P40" i="71"/>
  <c r="O40" i="71"/>
  <c r="N40" i="71"/>
  <c r="AB39" i="71"/>
  <c r="Q39" i="71"/>
  <c r="P39" i="71"/>
  <c r="AA39" i="71"/>
  <c r="O39" i="71"/>
  <c r="N39" i="71"/>
  <c r="X39" i="71"/>
  <c r="Q38" i="71"/>
  <c r="AB38" i="71"/>
  <c r="P38" i="71"/>
  <c r="AA37" i="71" s="1"/>
  <c r="O38" i="71"/>
  <c r="Y38" i="71" s="1"/>
  <c r="Z38" i="71" s="1"/>
  <c r="N38" i="71"/>
  <c r="F38" i="71"/>
  <c r="F39" i="71" s="1"/>
  <c r="F40" i="71"/>
  <c r="V40" i="71" s="1"/>
  <c r="Q37" i="71"/>
  <c r="P37" i="71"/>
  <c r="O37" i="71"/>
  <c r="C38" i="71" s="1"/>
  <c r="N37" i="71"/>
  <c r="X37" i="71" s="1"/>
  <c r="D37" i="71"/>
  <c r="Q36" i="71"/>
  <c r="AB36" i="71"/>
  <c r="P36" i="71"/>
  <c r="AA36" i="71" s="1"/>
  <c r="O36" i="71"/>
  <c r="N36" i="71"/>
  <c r="X36" i="71" s="1"/>
  <c r="Q35" i="71"/>
  <c r="AB35" i="71" s="1"/>
  <c r="P35" i="71"/>
  <c r="O35" i="71"/>
  <c r="Y35" i="71"/>
  <c r="Z35" i="71" s="1"/>
  <c r="N35" i="71"/>
  <c r="Q34" i="71"/>
  <c r="AB34" i="71"/>
  <c r="P34" i="71"/>
  <c r="O34" i="71"/>
  <c r="Y34" i="71" s="1"/>
  <c r="Z34" i="71" s="1"/>
  <c r="N34" i="71"/>
  <c r="Q33" i="71"/>
  <c r="F34" i="71" s="1"/>
  <c r="F35" i="71" s="1"/>
  <c r="F36" i="71" s="1"/>
  <c r="V36" i="71" s="1"/>
  <c r="P33" i="71"/>
  <c r="AA32" i="71" s="1"/>
  <c r="O33" i="71"/>
  <c r="N33" i="71"/>
  <c r="D33" i="71"/>
  <c r="Q32" i="71"/>
  <c r="AB32" i="71" s="1"/>
  <c r="P32" i="71"/>
  <c r="O32" i="71"/>
  <c r="Y32" i="71" s="1"/>
  <c r="Z32" i="71" s="1"/>
  <c r="N32" i="71"/>
  <c r="Q31" i="71"/>
  <c r="AB31" i="71" s="1"/>
  <c r="P31" i="71"/>
  <c r="O31" i="71"/>
  <c r="Y31" i="71"/>
  <c r="Z31" i="71" s="1"/>
  <c r="N31" i="71"/>
  <c r="Q30" i="71"/>
  <c r="AB30" i="71"/>
  <c r="P30" i="71"/>
  <c r="AA29" i="71" s="1"/>
  <c r="O30" i="71"/>
  <c r="N30" i="71"/>
  <c r="X28" i="71" s="1"/>
  <c r="Q29" i="71"/>
  <c r="AB29" i="71" s="1"/>
  <c r="P29" i="71"/>
  <c r="O29" i="71"/>
  <c r="N29" i="71"/>
  <c r="X29" i="71" s="1"/>
  <c r="D29" i="71"/>
  <c r="O28" i="71"/>
  <c r="N28" i="71"/>
  <c r="B28" i="71" s="1"/>
  <c r="B30" i="71"/>
  <c r="B31" i="71"/>
  <c r="B32" i="71" s="1"/>
  <c r="S32" i="71" s="1"/>
  <c r="E30" i="71"/>
  <c r="B34" i="71"/>
  <c r="B35" i="71"/>
  <c r="B36" i="71" s="1"/>
  <c r="S36" i="71" s="1"/>
  <c r="B38" i="71"/>
  <c r="B39" i="71"/>
  <c r="B40" i="71" s="1"/>
  <c r="S40" i="71" s="1"/>
  <c r="E38" i="71"/>
  <c r="E39" i="71"/>
  <c r="E40" i="71" s="1"/>
  <c r="U40" i="71" s="1"/>
  <c r="N68" i="71"/>
  <c r="C30" i="71"/>
  <c r="D30" i="71" s="1"/>
  <c r="Y29" i="71"/>
  <c r="Z29" i="71" s="1"/>
  <c r="X31" i="71"/>
  <c r="C34" i="71"/>
  <c r="C35" i="71" s="1"/>
  <c r="Y33" i="71"/>
  <c r="Z33" i="71" s="1"/>
  <c r="AA34" i="71"/>
  <c r="X35" i="71"/>
  <c r="AA35" i="71"/>
  <c r="Y37" i="71"/>
  <c r="Z37" i="71" s="1"/>
  <c r="AB37" i="71"/>
  <c r="X38" i="71"/>
  <c r="AA38" i="71"/>
  <c r="F52" i="71"/>
  <c r="V52" i="71" s="1"/>
  <c r="C28" i="71"/>
  <c r="Y26" i="71"/>
  <c r="Z26" i="71" s="1"/>
  <c r="B27" i="71"/>
  <c r="B26" i="71" s="1"/>
  <c r="X27" i="71"/>
  <c r="D34" i="71"/>
  <c r="D42" i="71"/>
  <c r="P28" i="71"/>
  <c r="AA26" i="71" s="1"/>
  <c r="E56" i="71"/>
  <c r="U56" i="71" s="1"/>
  <c r="E63" i="71"/>
  <c r="E64" i="71" s="1"/>
  <c r="U64" i="71" s="1"/>
  <c r="U68" i="71"/>
  <c r="E67" i="71"/>
  <c r="E66" i="71" s="1"/>
  <c r="Q28" i="71"/>
  <c r="C59" i="71"/>
  <c r="D59" i="71" s="1"/>
  <c r="D58" i="71"/>
  <c r="C63" i="71"/>
  <c r="C64" i="71" s="1"/>
  <c r="D62" i="71"/>
  <c r="Q67" i="71"/>
  <c r="T68" i="71"/>
  <c r="O68" i="71"/>
  <c r="C67" i="71"/>
  <c r="C66" i="71" s="1"/>
  <c r="Q68" i="71"/>
  <c r="C71" i="71"/>
  <c r="D72" i="71"/>
  <c r="C75" i="71"/>
  <c r="D76" i="71"/>
  <c r="C79" i="71"/>
  <c r="D79" i="71" s="1"/>
  <c r="E79" i="71"/>
  <c r="E78" i="71"/>
  <c r="D80" i="71"/>
  <c r="C83" i="71"/>
  <c r="D83" i="71" s="1"/>
  <c r="T28" i="71"/>
  <c r="C27" i="71"/>
  <c r="S28" i="71"/>
  <c r="F28" i="71"/>
  <c r="F27" i="71"/>
  <c r="F26" i="71" s="1"/>
  <c r="AB27" i="71"/>
  <c r="AA3" i="71"/>
  <c r="AA25" i="71"/>
  <c r="AA28" i="71"/>
  <c r="D28" i="71"/>
  <c r="U28" i="71" s="1"/>
  <c r="D63" i="71"/>
  <c r="D75" i="71"/>
  <c r="C74" i="71"/>
  <c r="D74" i="71" s="1"/>
  <c r="D71" i="71"/>
  <c r="C70" i="71"/>
  <c r="D70" i="71"/>
  <c r="C60" i="71"/>
  <c r="T60" i="71" s="1"/>
  <c r="P67" i="71"/>
  <c r="C36" i="71"/>
  <c r="T36" i="71" s="1"/>
  <c r="D35" i="71"/>
  <c r="C26" i="71"/>
  <c r="D26" i="71" s="1"/>
  <c r="D27" i="71"/>
  <c r="D36" i="71"/>
  <c r="T64" i="71"/>
  <c r="D64"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c r="F25" i="40"/>
  <c r="AA25" i="40" s="1"/>
  <c r="Q29" i="39"/>
  <c r="Z29" i="39" s="1"/>
  <c r="D102" i="39"/>
  <c r="E102" i="39" s="1"/>
  <c r="F102" i="39" s="1"/>
  <c r="G102" i="39" s="1"/>
  <c r="F29" i="39"/>
  <c r="AA29" i="39" s="1"/>
  <c r="Q18" i="36"/>
  <c r="Z18" i="36"/>
  <c r="D66" i="36"/>
  <c r="E66" i="36" s="1"/>
  <c r="F66" i="36" s="1"/>
  <c r="G66" i="36" s="1"/>
  <c r="H18" i="36"/>
  <c r="U18" i="36" s="1"/>
  <c r="AB18" i="36"/>
  <c r="F18" i="36"/>
  <c r="AA18" i="36" s="1"/>
  <c r="C18" i="36"/>
  <c r="Z18" i="35"/>
  <c r="Q18" i="35"/>
  <c r="D68" i="35"/>
  <c r="E68" i="35"/>
  <c r="F18" i="35"/>
  <c r="AA18" i="35" s="1"/>
  <c r="C18" i="35"/>
  <c r="Q21" i="37"/>
  <c r="Z21" i="37" s="1"/>
  <c r="D77" i="37"/>
  <c r="E77" i="37" s="1"/>
  <c r="F77" i="37" s="1"/>
  <c r="G77" i="37" s="1"/>
  <c r="C21" i="37"/>
  <c r="Z21" i="34"/>
  <c r="Q21" i="34"/>
  <c r="D84" i="34"/>
  <c r="E84" i="34"/>
  <c r="F21" i="34"/>
  <c r="C21" i="34"/>
  <c r="Q21" i="33"/>
  <c r="Z21" i="33" s="1"/>
  <c r="D83" i="33"/>
  <c r="E83" i="33" s="1"/>
  <c r="F83" i="33" s="1"/>
  <c r="G83" i="33" s="1"/>
  <c r="C21" i="33"/>
  <c r="C21" i="21"/>
  <c r="Q21" i="21"/>
  <c r="Z21" i="21" s="1"/>
  <c r="H19" i="21"/>
  <c r="D83" i="21"/>
  <c r="E83" i="21" s="1"/>
  <c r="F21" i="21"/>
  <c r="AA21" i="21" s="1"/>
  <c r="D81" i="21"/>
  <c r="G20" i="20"/>
  <c r="C22" i="20"/>
  <c r="B100" i="43" s="1"/>
  <c r="B77" i="43"/>
  <c r="B57" i="43"/>
  <c r="B68" i="43"/>
  <c r="C29" i="39"/>
  <c r="S25" i="40"/>
  <c r="S18" i="36"/>
  <c r="F94" i="40"/>
  <c r="G94" i="40" s="1"/>
  <c r="H25" i="40"/>
  <c r="AB25" i="40" s="1"/>
  <c r="J25" i="40"/>
  <c r="H29" i="39"/>
  <c r="AB29" i="39" s="1"/>
  <c r="J29" i="39"/>
  <c r="AC29" i="39" s="1"/>
  <c r="J18" i="36"/>
  <c r="AC18" i="36" s="1"/>
  <c r="F68" i="35"/>
  <c r="G68" i="35" s="1"/>
  <c r="H18" i="35"/>
  <c r="AB18" i="35" s="1"/>
  <c r="J18" i="35"/>
  <c r="W18" i="35" s="1"/>
  <c r="H21" i="37"/>
  <c r="F21" i="37"/>
  <c r="AA21" i="37" s="1"/>
  <c r="F84" i="34"/>
  <c r="H21" i="34"/>
  <c r="H21" i="33"/>
  <c r="U21" i="33" s="1"/>
  <c r="F21" i="33"/>
  <c r="S21" i="33" s="1"/>
  <c r="H1" i="69"/>
  <c r="AC25" i="40"/>
  <c r="W25" i="40"/>
  <c r="U25" i="40"/>
  <c r="U29" i="39"/>
  <c r="W29" i="39"/>
  <c r="W18" i="36"/>
  <c r="AB21" i="37"/>
  <c r="U21" i="37"/>
  <c r="S21" i="37"/>
  <c r="AB21" i="34"/>
  <c r="U21" i="34"/>
  <c r="AB21" i="33"/>
  <c r="J21" i="37"/>
  <c r="G84" i="34"/>
  <c r="J21" i="34"/>
  <c r="W21" i="34" s="1"/>
  <c r="J21" i="33"/>
  <c r="F83" i="21"/>
  <c r="G83" i="21" s="1"/>
  <c r="H21" i="21"/>
  <c r="U21" i="21" s="1"/>
  <c r="F38" i="69"/>
  <c r="E37" i="69"/>
  <c r="F36" i="69"/>
  <c r="F35" i="69"/>
  <c r="F21" i="69"/>
  <c r="F40" i="69" s="1"/>
  <c r="F20" i="69"/>
  <c r="F39" i="69" s="1"/>
  <c r="E10" i="69"/>
  <c r="E9" i="69"/>
  <c r="AC21" i="37"/>
  <c r="W21" i="37"/>
  <c r="AC21" i="34"/>
  <c r="AC21" i="33"/>
  <c r="W21" i="33"/>
  <c r="AB21" i="21"/>
  <c r="J21" i="21"/>
  <c r="AC21" i="21" s="1"/>
  <c r="F38" i="68"/>
  <c r="E37" i="68"/>
  <c r="F36" i="68"/>
  <c r="F35" i="68"/>
  <c r="F21" i="68"/>
  <c r="F40" i="68" s="1"/>
  <c r="F20" i="68"/>
  <c r="F39" i="68" s="1"/>
  <c r="E10" i="68"/>
  <c r="E9" i="68"/>
  <c r="C7" i="68"/>
  <c r="W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c r="D57" i="43" s="1"/>
  <c r="M56" i="43"/>
  <c r="N56" i="43" s="1"/>
  <c r="K56" i="43"/>
  <c r="J56" i="43" s="1"/>
  <c r="D56" i="43"/>
  <c r="M55" i="43"/>
  <c r="N55" i="43" s="1"/>
  <c r="K55" i="43"/>
  <c r="J55" i="43" s="1"/>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c r="I12" i="31" s="1"/>
  <c r="J12" i="31" s="1"/>
  <c r="K12" i="31" s="1"/>
  <c r="L12" i="31" s="1"/>
  <c r="M12" i="31" s="1"/>
  <c r="N12" i="31" s="1"/>
  <c r="O12" i="31" s="1"/>
  <c r="P12" i="31" s="1"/>
  <c r="Q12" i="31" s="1"/>
  <c r="R12" i="31" s="1"/>
  <c r="S12" i="31" s="1"/>
  <c r="D10" i="31"/>
  <c r="E10" i="31" s="1"/>
  <c r="F10" i="31" s="1"/>
  <c r="G10" i="31" s="1"/>
  <c r="H10" i="31"/>
  <c r="I10" i="31" s="1"/>
  <c r="J10" i="31" s="1"/>
  <c r="K10" i="31" s="1"/>
  <c r="L10" i="31" s="1"/>
  <c r="M10" i="31" s="1"/>
  <c r="N10" i="31" s="1"/>
  <c r="O10" i="31" s="1"/>
  <c r="P10" i="31" s="1"/>
  <c r="Q10" i="31" s="1"/>
  <c r="R10" i="31" s="1"/>
  <c r="S10" i="31" s="1"/>
  <c r="D8" i="31"/>
  <c r="E8" i="31" s="1"/>
  <c r="F8" i="31" s="1"/>
  <c r="G8" i="31" s="1"/>
  <c r="H8" i="3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G109" i="3" s="1"/>
  <c r="H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G92" i="3" s="1"/>
  <c r="H92" i="3"/>
  <c r="BT91" i="3"/>
  <c r="BS91" i="3"/>
  <c r="BR91" i="3"/>
  <c r="BQ91" i="3"/>
  <c r="BP91" i="3"/>
  <c r="BO91" i="3"/>
  <c r="BN91" i="3"/>
  <c r="BM91" i="3"/>
  <c r="BL91" i="3"/>
  <c r="BK91" i="3"/>
  <c r="BJ91" i="3"/>
  <c r="BI91" i="3"/>
  <c r="BH91" i="3"/>
  <c r="BG91" i="3"/>
  <c r="BF91" i="3"/>
  <c r="BE91" i="3"/>
  <c r="BD91" i="3"/>
  <c r="BC91" i="3"/>
  <c r="BA91" i="3" s="1"/>
  <c r="AZ91" i="3" s="1"/>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G90" i="3" s="1"/>
  <c r="H90" i="3"/>
  <c r="BT89" i="3"/>
  <c r="BS89" i="3"/>
  <c r="BR89" i="3"/>
  <c r="BQ89" i="3"/>
  <c r="BP89" i="3"/>
  <c r="BO89" i="3"/>
  <c r="BN89" i="3"/>
  <c r="BM89" i="3"/>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BT83" i="3"/>
  <c r="BS83" i="3"/>
  <c r="BR83" i="3"/>
  <c r="BQ83" i="3"/>
  <c r="BP83" i="3"/>
  <c r="BO83" i="3"/>
  <c r="BN83" i="3"/>
  <c r="BL83" i="3" s="1"/>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L79" i="3"/>
  <c r="BK79" i="3"/>
  <c r="BJ79" i="3"/>
  <c r="BI79" i="3"/>
  <c r="BH79" i="3"/>
  <c r="BG79" i="3"/>
  <c r="BF79" i="3"/>
  <c r="BE79" i="3"/>
  <c r="BD79" i="3"/>
  <c r="BC79" i="3"/>
  <c r="BA79" i="3" s="1"/>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G75" i="3" s="1"/>
  <c r="H75" i="3"/>
  <c r="BT74" i="3"/>
  <c r="BS74" i="3"/>
  <c r="BR74" i="3"/>
  <c r="BQ74" i="3"/>
  <c r="BP74" i="3"/>
  <c r="BO74" i="3"/>
  <c r="BL74" i="3" s="1"/>
  <c r="BN74" i="3"/>
  <c r="BM74" i="3"/>
  <c r="BK74" i="3"/>
  <c r="BJ74" i="3"/>
  <c r="BI74" i="3"/>
  <c r="BH74" i="3"/>
  <c r="BG74" i="3"/>
  <c r="BF74" i="3"/>
  <c r="BE74" i="3"/>
  <c r="BD74" i="3"/>
  <c r="BC74" i="3"/>
  <c r="BA74" i="3" s="1"/>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L71" i="3" s="1"/>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G70" i="3" s="1"/>
  <c r="H70" i="3"/>
  <c r="BT69" i="3"/>
  <c r="BS69" i="3"/>
  <c r="BR69" i="3"/>
  <c r="BQ69" i="3"/>
  <c r="BP69" i="3"/>
  <c r="BO69" i="3"/>
  <c r="BN69" i="3"/>
  <c r="BM69" i="3"/>
  <c r="BL69" i="3" s="1"/>
  <c r="BK69" i="3"/>
  <c r="BJ69" i="3"/>
  <c r="BI69" i="3"/>
  <c r="BH69" i="3"/>
  <c r="BG69" i="3"/>
  <c r="BF69" i="3"/>
  <c r="BE69" i="3"/>
  <c r="BD69" i="3"/>
  <c r="BC69" i="3"/>
  <c r="BA69" i="3" s="1"/>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L46" i="3" s="1"/>
  <c r="BM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G45" i="3" s="1"/>
  <c r="H45" i="3"/>
  <c r="BT44" i="3"/>
  <c r="BS44" i="3"/>
  <c r="BR44" i="3"/>
  <c r="BQ44" i="3"/>
  <c r="BP44" i="3"/>
  <c r="BO44" i="3"/>
  <c r="BL44" i="3" s="1"/>
  <c r="BN44" i="3"/>
  <c r="BM44" i="3"/>
  <c r="BK44" i="3"/>
  <c r="BJ44" i="3"/>
  <c r="BI44" i="3"/>
  <c r="BH44" i="3"/>
  <c r="BG44" i="3"/>
  <c r="BF44" i="3"/>
  <c r="BE44" i="3"/>
  <c r="BD44" i="3"/>
  <c r="BC44" i="3"/>
  <c r="BA44" i="3" s="1"/>
  <c r="BB44" i="3"/>
  <c r="AX44" i="3"/>
  <c r="AW44" i="3"/>
  <c r="AV44" i="3"/>
  <c r="AC44" i="3"/>
  <c r="H44" i="3"/>
  <c r="G44" i="3" s="1"/>
  <c r="BT43" i="3"/>
  <c r="BS43" i="3"/>
  <c r="BR43" i="3"/>
  <c r="BQ43" i="3"/>
  <c r="BP43" i="3"/>
  <c r="BO43" i="3"/>
  <c r="BN43" i="3"/>
  <c r="BL43" i="3" s="1"/>
  <c r="BM43" i="3"/>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c r="BK42" i="3"/>
  <c r="BJ42" i="3"/>
  <c r="BI42" i="3"/>
  <c r="BH42" i="3"/>
  <c r="BG42" i="3"/>
  <c r="BF42" i="3"/>
  <c r="BE42" i="3"/>
  <c r="BD42" i="3"/>
  <c r="BA42" i="3" s="1"/>
  <c r="BC42" i="3"/>
  <c r="BB42" i="3"/>
  <c r="AX42" i="3"/>
  <c r="AW42" i="3"/>
  <c r="AV42" i="3"/>
  <c r="AC42" i="3"/>
  <c r="H42" i="3"/>
  <c r="G42" i="3" s="1"/>
  <c r="BT41" i="3"/>
  <c r="BS41" i="3"/>
  <c r="BR41" i="3"/>
  <c r="BQ41" i="3"/>
  <c r="BP41" i="3"/>
  <c r="BO41" i="3"/>
  <c r="BN41" i="3"/>
  <c r="BL41" i="3" s="1"/>
  <c r="BM41" i="3"/>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c r="BK40" i="3"/>
  <c r="BJ40" i="3"/>
  <c r="BI40" i="3"/>
  <c r="BH40" i="3"/>
  <c r="BG40" i="3"/>
  <c r="BF40" i="3"/>
  <c r="BE40" i="3"/>
  <c r="BD40" i="3"/>
  <c r="BA40" i="3" s="1"/>
  <c r="AZ40" i="3" s="1"/>
  <c r="BC40" i="3"/>
  <c r="BB40" i="3"/>
  <c r="AX40" i="3"/>
  <c r="AW40" i="3"/>
  <c r="AV40" i="3"/>
  <c r="AC40" i="3"/>
  <c r="H40" i="3"/>
  <c r="G40" i="3" s="1"/>
  <c r="BT39" i="3"/>
  <c r="BS39" i="3"/>
  <c r="BR39" i="3"/>
  <c r="BQ39" i="3"/>
  <c r="BP39" i="3"/>
  <c r="BO39" i="3"/>
  <c r="BL39" i="3" s="1"/>
  <c r="BN39" i="3"/>
  <c r="BM39" i="3"/>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L36" i="3" s="1"/>
  <c r="BM36" i="3"/>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G35" i="3" s="1"/>
  <c r="H35" i="3"/>
  <c r="BT34" i="3"/>
  <c r="BS34" i="3"/>
  <c r="BR34" i="3"/>
  <c r="BQ34" i="3"/>
  <c r="BP34" i="3"/>
  <c r="BO34" i="3"/>
  <c r="BL34" i="3" s="1"/>
  <c r="BN34" i="3"/>
  <c r="BM34" i="3"/>
  <c r="BK34" i="3"/>
  <c r="BJ34" i="3"/>
  <c r="BI34" i="3"/>
  <c r="BH34" i="3"/>
  <c r="BG34" i="3"/>
  <c r="BF34" i="3"/>
  <c r="BE34" i="3"/>
  <c r="BD34" i="3"/>
  <c r="BC34" i="3"/>
  <c r="BA34" i="3" s="1"/>
  <c r="AZ34" i="3" s="1"/>
  <c r="BB34" i="3"/>
  <c r="AX34" i="3"/>
  <c r="AW34" i="3"/>
  <c r="AV34" i="3"/>
  <c r="AC34" i="3"/>
  <c r="H34" i="3"/>
  <c r="G34" i="3" s="1"/>
  <c r="BT33" i="3"/>
  <c r="BS33" i="3"/>
  <c r="BR33" i="3"/>
  <c r="BQ33" i="3"/>
  <c r="BP33" i="3"/>
  <c r="BO33" i="3"/>
  <c r="BN33" i="3"/>
  <c r="BL33" i="3" s="1"/>
  <c r="BM33" i="3"/>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c r="BK32" i="3"/>
  <c r="BJ32" i="3"/>
  <c r="BI32" i="3"/>
  <c r="BH32" i="3"/>
  <c r="BG32" i="3"/>
  <c r="BF32" i="3"/>
  <c r="BE32" i="3"/>
  <c r="BD32" i="3"/>
  <c r="BA32" i="3" s="1"/>
  <c r="BC32" i="3"/>
  <c r="BB32" i="3"/>
  <c r="AX32" i="3"/>
  <c r="AW32" i="3"/>
  <c r="AV32" i="3"/>
  <c r="AC32" i="3"/>
  <c r="H32" i="3"/>
  <c r="G32" i="3" s="1"/>
  <c r="BT31" i="3"/>
  <c r="BS31" i="3"/>
  <c r="BR31" i="3"/>
  <c r="BQ31" i="3"/>
  <c r="BP31" i="3"/>
  <c r="BO31" i="3"/>
  <c r="BN31" i="3"/>
  <c r="BL31" i="3" s="1"/>
  <c r="BM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A30" i="3" s="1"/>
  <c r="BC30" i="3"/>
  <c r="BB30" i="3"/>
  <c r="AZ30" i="3"/>
  <c r="AX30" i="3"/>
  <c r="AW30" i="3"/>
  <c r="AV30" i="3"/>
  <c r="AC30" i="3"/>
  <c r="H30" i="3"/>
  <c r="BT29" i="3"/>
  <c r="BS29" i="3"/>
  <c r="BR29" i="3"/>
  <c r="BQ29" i="3"/>
  <c r="BP29" i="3"/>
  <c r="BO29" i="3"/>
  <c r="BL29" i="3" s="1"/>
  <c r="BN29" i="3"/>
  <c r="BM29" i="3"/>
  <c r="BK29" i="3"/>
  <c r="BJ29" i="3"/>
  <c r="BI29" i="3"/>
  <c r="BH29" i="3"/>
  <c r="BG29" i="3"/>
  <c r="BF29" i="3"/>
  <c r="BE29" i="3"/>
  <c r="BD29" i="3"/>
  <c r="BC29" i="3"/>
  <c r="BB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BT27" i="3"/>
  <c r="BS27" i="3"/>
  <c r="BR27" i="3"/>
  <c r="BQ27" i="3"/>
  <c r="BP27" i="3"/>
  <c r="BO27" i="3"/>
  <c r="BL27" i="3" s="1"/>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c r="BK25" i="3"/>
  <c r="BJ25" i="3"/>
  <c r="BI25" i="3"/>
  <c r="BH25" i="3"/>
  <c r="BG25" i="3"/>
  <c r="BF25" i="3"/>
  <c r="BE25" i="3"/>
  <c r="BD25" i="3"/>
  <c r="BA25" i="3" s="1"/>
  <c r="BC25" i="3"/>
  <c r="BB25" i="3"/>
  <c r="AZ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A202" i="3" s="1"/>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G198" i="3" s="1"/>
  <c r="H198" i="3"/>
  <c r="BT197" i="3"/>
  <c r="BS197" i="3"/>
  <c r="BR197" i="3"/>
  <c r="BQ197" i="3"/>
  <c r="BP197" i="3"/>
  <c r="BO197" i="3"/>
  <c r="BN197" i="3"/>
  <c r="BM197" i="3"/>
  <c r="BL197" i="3" s="1"/>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G196" i="3" s="1"/>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L193" i="3" s="1"/>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G192" i="3" s="1"/>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L186" i="3" s="1"/>
  <c r="BK186" i="3"/>
  <c r="BJ186" i="3"/>
  <c r="BI186" i="3"/>
  <c r="BH186" i="3"/>
  <c r="BG186" i="3"/>
  <c r="BF186" i="3"/>
  <c r="BE186" i="3"/>
  <c r="BD186" i="3"/>
  <c r="BC186" i="3"/>
  <c r="BA186" i="3" s="1"/>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L182" i="3" s="1"/>
  <c r="BK182" i="3"/>
  <c r="BJ182" i="3"/>
  <c r="BI182" i="3"/>
  <c r="BH182" i="3"/>
  <c r="BG182" i="3"/>
  <c r="BF182" i="3"/>
  <c r="BE182" i="3"/>
  <c r="BD182" i="3"/>
  <c r="BC182" i="3"/>
  <c r="BA182" i="3" s="1"/>
  <c r="BB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L177" i="3" s="1"/>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L174" i="3" s="1"/>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L171" i="3" s="1"/>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L170" i="3" s="1"/>
  <c r="BK170" i="3"/>
  <c r="BJ170" i="3"/>
  <c r="BI170" i="3"/>
  <c r="BH170" i="3"/>
  <c r="BG170" i="3"/>
  <c r="BF170" i="3"/>
  <c r="BE170" i="3"/>
  <c r="BD170" i="3"/>
  <c r="BC170" i="3"/>
  <c r="BA170" i="3" s="1"/>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G166" i="3" s="1"/>
  <c r="H166" i="3"/>
  <c r="BT165" i="3"/>
  <c r="BS165" i="3"/>
  <c r="BR165" i="3"/>
  <c r="BQ165" i="3"/>
  <c r="BP165" i="3"/>
  <c r="BO165" i="3"/>
  <c r="BN165" i="3"/>
  <c r="BM165" i="3"/>
  <c r="BL165" i="3" s="1"/>
  <c r="BK165" i="3"/>
  <c r="BJ165" i="3"/>
  <c r="BI165" i="3"/>
  <c r="BH165" i="3"/>
  <c r="BG165" i="3"/>
  <c r="BF165" i="3"/>
  <c r="BE165" i="3"/>
  <c r="BD165" i="3"/>
  <c r="BC165" i="3"/>
  <c r="BA165" i="3" s="1"/>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A164" i="3" s="1"/>
  <c r="BB164" i="3"/>
  <c r="AX164" i="3"/>
  <c r="AW164" i="3"/>
  <c r="AV164" i="3"/>
  <c r="AC164" i="3"/>
  <c r="G164" i="3" s="1"/>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L162" i="3" s="1"/>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L161" i="3" s="1"/>
  <c r="BM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G160" i="3" s="1"/>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L157" i="3" s="1"/>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L155" i="3" s="1"/>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L154" i="3" s="1"/>
  <c r="BK154" i="3"/>
  <c r="BJ154" i="3"/>
  <c r="BI154" i="3"/>
  <c r="BH154" i="3"/>
  <c r="BG154" i="3"/>
  <c r="BF154" i="3"/>
  <c r="BE154" i="3"/>
  <c r="BD154" i="3"/>
  <c r="BC154" i="3"/>
  <c r="BA154" i="3" s="1"/>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L151" i="3" s="1"/>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N150" i="3"/>
  <c r="BM150" i="3"/>
  <c r="BL150" i="3" s="1"/>
  <c r="BK150" i="3"/>
  <c r="BJ150" i="3"/>
  <c r="BI150" i="3"/>
  <c r="BH150" i="3"/>
  <c r="BG150" i="3"/>
  <c r="BF150" i="3"/>
  <c r="BE150" i="3"/>
  <c r="BD150" i="3"/>
  <c r="BC150" i="3"/>
  <c r="BA150" i="3" s="1"/>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G148" i="3" s="1"/>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L145" i="3" s="1"/>
  <c r="BM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A144" i="3" s="1"/>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L142" i="3" s="1"/>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G140" i="3" s="1"/>
  <c r="H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L137" i="3" s="1"/>
  <c r="BM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A136" i="3" s="1"/>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L129" i="3" s="1"/>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L122" i="3" s="1"/>
  <c r="BK122" i="3"/>
  <c r="BJ122" i="3"/>
  <c r="BI122" i="3"/>
  <c r="BH122" i="3"/>
  <c r="BG122" i="3"/>
  <c r="BF122" i="3"/>
  <c r="BE122" i="3"/>
  <c r="BD122" i="3"/>
  <c r="BC122" i="3"/>
  <c r="BA122" i="3" s="1"/>
  <c r="AZ122" i="3" s="1"/>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G120" i="3" s="1"/>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L118" i="3" s="1"/>
  <c r="BM118" i="3"/>
  <c r="BK118" i="3"/>
  <c r="BJ118" i="3"/>
  <c r="BI118" i="3"/>
  <c r="BH118" i="3"/>
  <c r="BG118" i="3"/>
  <c r="BF118" i="3"/>
  <c r="BE118" i="3"/>
  <c r="BD118" i="3"/>
  <c r="BC118" i="3"/>
  <c r="BB118" i="3"/>
  <c r="BA118" i="3" s="1"/>
  <c r="AX118" i="3"/>
  <c r="AW118" i="3"/>
  <c r="AV118" i="3"/>
  <c r="AC118" i="3"/>
  <c r="G118" i="3" s="1"/>
  <c r="H118" i="3"/>
  <c r="BT117" i="3"/>
  <c r="BS117" i="3"/>
  <c r="BR117" i="3"/>
  <c r="BQ117" i="3"/>
  <c r="BP117" i="3"/>
  <c r="BO117" i="3"/>
  <c r="BN117" i="3"/>
  <c r="BM117" i="3"/>
  <c r="BL117" i="3" s="1"/>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G116" i="3" s="1"/>
  <c r="H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L113" i="3" s="1"/>
  <c r="BM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G302" i="3" s="1"/>
  <c r="H302" i="3"/>
  <c r="BT301" i="3"/>
  <c r="BS301" i="3"/>
  <c r="BR301" i="3"/>
  <c r="BQ301" i="3"/>
  <c r="BP301" i="3"/>
  <c r="BO301" i="3"/>
  <c r="BN301" i="3"/>
  <c r="BM301" i="3"/>
  <c r="BL301" i="3" s="1"/>
  <c r="BK301" i="3"/>
  <c r="BJ301" i="3"/>
  <c r="BI301" i="3"/>
  <c r="BH301" i="3"/>
  <c r="BG301" i="3"/>
  <c r="BF301" i="3"/>
  <c r="BE301" i="3"/>
  <c r="BD301" i="3"/>
  <c r="BC301" i="3"/>
  <c r="BA301" i="3" s="1"/>
  <c r="AZ301" i="3" s="1"/>
  <c r="BB301" i="3"/>
  <c r="AX301" i="3"/>
  <c r="AW301" i="3"/>
  <c r="AV301" i="3"/>
  <c r="AC301" i="3"/>
  <c r="H301" i="3"/>
  <c r="G301" i="3" s="1"/>
  <c r="BT300" i="3"/>
  <c r="BS300" i="3"/>
  <c r="BR300" i="3"/>
  <c r="BQ300" i="3"/>
  <c r="BP300" i="3"/>
  <c r="BO300" i="3"/>
  <c r="BN300" i="3"/>
  <c r="BL300" i="3" s="1"/>
  <c r="BM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G299" i="3" s="1"/>
  <c r="H299" i="3"/>
  <c r="BT298" i="3"/>
  <c r="BS298" i="3"/>
  <c r="BR298" i="3"/>
  <c r="BQ298" i="3"/>
  <c r="BP298" i="3"/>
  <c r="BO298" i="3"/>
  <c r="BN298" i="3"/>
  <c r="BM298" i="3"/>
  <c r="BL298" i="3" s="1"/>
  <c r="BK298" i="3"/>
  <c r="BJ298" i="3"/>
  <c r="BI298" i="3"/>
  <c r="BH298" i="3"/>
  <c r="BG298" i="3"/>
  <c r="BF298" i="3"/>
  <c r="BE298" i="3"/>
  <c r="BD298" i="3"/>
  <c r="BC298" i="3"/>
  <c r="BA298" i="3" s="1"/>
  <c r="BB298" i="3"/>
  <c r="AX298" i="3"/>
  <c r="AW298" i="3"/>
  <c r="AV298" i="3"/>
  <c r="AC298" i="3"/>
  <c r="H298" i="3"/>
  <c r="G298" i="3" s="1"/>
  <c r="BT297" i="3"/>
  <c r="BS297" i="3"/>
  <c r="BR297" i="3"/>
  <c r="BQ297" i="3"/>
  <c r="BP297" i="3"/>
  <c r="BO297" i="3"/>
  <c r="BN297" i="3"/>
  <c r="BL297" i="3" s="1"/>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G294" i="3" s="1"/>
  <c r="H294" i="3"/>
  <c r="BT293" i="3"/>
  <c r="BS293" i="3"/>
  <c r="BR293" i="3"/>
  <c r="BQ293" i="3"/>
  <c r="BP293" i="3"/>
  <c r="BO293" i="3"/>
  <c r="BN293" i="3"/>
  <c r="BM293" i="3"/>
  <c r="BL293" i="3" s="1"/>
  <c r="BK293" i="3"/>
  <c r="BJ293" i="3"/>
  <c r="BI293" i="3"/>
  <c r="BH293" i="3"/>
  <c r="BG293" i="3"/>
  <c r="BF293" i="3"/>
  <c r="BE293" i="3"/>
  <c r="BD293" i="3"/>
  <c r="BC293" i="3"/>
  <c r="BA293" i="3" s="1"/>
  <c r="AZ293" i="3" s="1"/>
  <c r="BB293" i="3"/>
  <c r="AX293" i="3"/>
  <c r="AW293" i="3"/>
  <c r="AV293" i="3"/>
  <c r="AC293" i="3"/>
  <c r="H293" i="3"/>
  <c r="G293" i="3" s="1"/>
  <c r="BT292" i="3"/>
  <c r="BS292" i="3"/>
  <c r="BR292" i="3"/>
  <c r="BQ292" i="3"/>
  <c r="BP292" i="3"/>
  <c r="BO292" i="3"/>
  <c r="BN292" i="3"/>
  <c r="BL292" i="3" s="1"/>
  <c r="BM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L289" i="3" s="1"/>
  <c r="BM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L287" i="3" s="1"/>
  <c r="BK287" i="3"/>
  <c r="BJ287" i="3"/>
  <c r="BI287" i="3"/>
  <c r="BH287" i="3"/>
  <c r="BG287" i="3"/>
  <c r="BF287" i="3"/>
  <c r="BE287" i="3"/>
  <c r="BD287" i="3"/>
  <c r="BC287" i="3"/>
  <c r="BA287" i="3" s="1"/>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L285" i="3" s="1"/>
  <c r="BK285" i="3"/>
  <c r="BJ285" i="3"/>
  <c r="BI285" i="3"/>
  <c r="BH285" i="3"/>
  <c r="BG285" i="3"/>
  <c r="BF285" i="3"/>
  <c r="BE285" i="3"/>
  <c r="BD285" i="3"/>
  <c r="BC285" i="3"/>
  <c r="BA285" i="3" s="1"/>
  <c r="AZ285" i="3" s="1"/>
  <c r="BB285" i="3"/>
  <c r="AX285" i="3"/>
  <c r="AW285" i="3"/>
  <c r="AV285" i="3"/>
  <c r="AC285" i="3"/>
  <c r="H285" i="3"/>
  <c r="G285" i="3" s="1"/>
  <c r="BT284" i="3"/>
  <c r="BS284" i="3"/>
  <c r="BR284" i="3"/>
  <c r="BQ284" i="3"/>
  <c r="BP284" i="3"/>
  <c r="BO284" i="3"/>
  <c r="BN284" i="3"/>
  <c r="BL284" i="3" s="1"/>
  <c r="BM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G283" i="3" s="1"/>
  <c r="H283" i="3"/>
  <c r="BT282" i="3"/>
  <c r="BS282" i="3"/>
  <c r="BR282" i="3"/>
  <c r="BQ282" i="3"/>
  <c r="BP282" i="3"/>
  <c r="BO282" i="3"/>
  <c r="BN282" i="3"/>
  <c r="BM282" i="3"/>
  <c r="BL282" i="3" s="1"/>
  <c r="BK282" i="3"/>
  <c r="BJ282" i="3"/>
  <c r="BI282" i="3"/>
  <c r="BH282" i="3"/>
  <c r="BG282" i="3"/>
  <c r="BF282" i="3"/>
  <c r="BE282" i="3"/>
  <c r="BD282" i="3"/>
  <c r="BC282" i="3"/>
  <c r="BA282" i="3" s="1"/>
  <c r="BB282" i="3"/>
  <c r="AX282" i="3"/>
  <c r="AW282" i="3"/>
  <c r="AV282" i="3"/>
  <c r="AC282" i="3"/>
  <c r="H282" i="3"/>
  <c r="G282" i="3" s="1"/>
  <c r="BT281" i="3"/>
  <c r="BS281" i="3"/>
  <c r="BR281" i="3"/>
  <c r="BQ281" i="3"/>
  <c r="BP281" i="3"/>
  <c r="BO281" i="3"/>
  <c r="BN281" i="3"/>
  <c r="BL281" i="3" s="1"/>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L279" i="3" s="1"/>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G278" i="3" s="1"/>
  <c r="H278" i="3"/>
  <c r="BT277" i="3"/>
  <c r="BS277" i="3"/>
  <c r="BR277" i="3"/>
  <c r="BQ277" i="3"/>
  <c r="BP277" i="3"/>
  <c r="BO277" i="3"/>
  <c r="BN277" i="3"/>
  <c r="BM277" i="3"/>
  <c r="BL277" i="3" s="1"/>
  <c r="BK277" i="3"/>
  <c r="BJ277" i="3"/>
  <c r="BI277" i="3"/>
  <c r="BH277" i="3"/>
  <c r="BG277" i="3"/>
  <c r="BF277" i="3"/>
  <c r="BE277" i="3"/>
  <c r="BD277" i="3"/>
  <c r="BC277" i="3"/>
  <c r="BA277" i="3" s="1"/>
  <c r="AZ277" i="3" s="1"/>
  <c r="BB277" i="3"/>
  <c r="AX277" i="3"/>
  <c r="AW277" i="3"/>
  <c r="AV277" i="3"/>
  <c r="AC277" i="3"/>
  <c r="H277" i="3"/>
  <c r="G277" i="3" s="1"/>
  <c r="BT276" i="3"/>
  <c r="BS276" i="3"/>
  <c r="BR276" i="3"/>
  <c r="BQ276" i="3"/>
  <c r="BP276" i="3"/>
  <c r="BO276" i="3"/>
  <c r="BN276" i="3"/>
  <c r="BL276" i="3" s="1"/>
  <c r="BM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G275" i="3" s="1"/>
  <c r="H275" i="3"/>
  <c r="BT274" i="3"/>
  <c r="BS274" i="3"/>
  <c r="BR274" i="3"/>
  <c r="BQ274" i="3"/>
  <c r="BP274" i="3"/>
  <c r="BO274" i="3"/>
  <c r="BN274" i="3"/>
  <c r="BM274" i="3"/>
  <c r="BL274" i="3" s="1"/>
  <c r="BK274" i="3"/>
  <c r="BJ274" i="3"/>
  <c r="BI274" i="3"/>
  <c r="BH274" i="3"/>
  <c r="BG274" i="3"/>
  <c r="BF274" i="3"/>
  <c r="BE274" i="3"/>
  <c r="BD274" i="3"/>
  <c r="BC274" i="3"/>
  <c r="BA274" i="3" s="1"/>
  <c r="BB274" i="3"/>
  <c r="AX274" i="3"/>
  <c r="AW274" i="3"/>
  <c r="AV274" i="3"/>
  <c r="AC274" i="3"/>
  <c r="H274" i="3"/>
  <c r="G274" i="3" s="1"/>
  <c r="BT273" i="3"/>
  <c r="BS273" i="3"/>
  <c r="BR273" i="3"/>
  <c r="BQ273" i="3"/>
  <c r="BP273" i="3"/>
  <c r="BO273" i="3"/>
  <c r="BN273" i="3"/>
  <c r="BL273" i="3" s="1"/>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G272" i="3" s="1"/>
  <c r="H272" i="3"/>
  <c r="BT271" i="3"/>
  <c r="BS271" i="3"/>
  <c r="BR271" i="3"/>
  <c r="BQ271" i="3"/>
  <c r="BP271" i="3"/>
  <c r="BO271" i="3"/>
  <c r="BN271" i="3"/>
  <c r="BM271" i="3"/>
  <c r="BL271" i="3" s="1"/>
  <c r="BK271" i="3"/>
  <c r="BJ271" i="3"/>
  <c r="BI271" i="3"/>
  <c r="BH271" i="3"/>
  <c r="BG271" i="3"/>
  <c r="BF271" i="3"/>
  <c r="BE271" i="3"/>
  <c r="BD271" i="3"/>
  <c r="BC271" i="3"/>
  <c r="BA271" i="3" s="1"/>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L268" i="3" s="1"/>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G267" i="3" s="1"/>
  <c r="H267" i="3"/>
  <c r="BT266" i="3"/>
  <c r="BS266" i="3"/>
  <c r="BR266" i="3"/>
  <c r="BQ266" i="3"/>
  <c r="BP266" i="3"/>
  <c r="BO266" i="3"/>
  <c r="BN266" i="3"/>
  <c r="BM266" i="3"/>
  <c r="BL266" i="3" s="1"/>
  <c r="BK266" i="3"/>
  <c r="BJ266" i="3"/>
  <c r="BI266" i="3"/>
  <c r="BH266" i="3"/>
  <c r="BG266" i="3"/>
  <c r="BF266" i="3"/>
  <c r="BE266" i="3"/>
  <c r="BD266" i="3"/>
  <c r="BC266" i="3"/>
  <c r="BA266" i="3" s="1"/>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G265" i="3" s="1"/>
  <c r="H265" i="3"/>
  <c r="BT264" i="3"/>
  <c r="BS264" i="3"/>
  <c r="BR264" i="3"/>
  <c r="BQ264" i="3"/>
  <c r="BP264" i="3"/>
  <c r="BO264" i="3"/>
  <c r="BN264" i="3"/>
  <c r="BM264" i="3"/>
  <c r="BL264" i="3" s="1"/>
  <c r="BK264" i="3"/>
  <c r="BJ264" i="3"/>
  <c r="BI264" i="3"/>
  <c r="BH264" i="3"/>
  <c r="BG264" i="3"/>
  <c r="BF264" i="3"/>
  <c r="BE264" i="3"/>
  <c r="BD264" i="3"/>
  <c r="BC264" i="3"/>
  <c r="BA264" i="3" s="1"/>
  <c r="AZ264" i="3" s="1"/>
  <c r="BB264" i="3"/>
  <c r="AX264" i="3"/>
  <c r="AW264" i="3"/>
  <c r="AV264" i="3"/>
  <c r="AC264" i="3"/>
  <c r="H264" i="3"/>
  <c r="G264" i="3" s="1"/>
  <c r="BT263" i="3"/>
  <c r="BS263" i="3"/>
  <c r="BR263" i="3"/>
  <c r="BQ263" i="3"/>
  <c r="BP263" i="3"/>
  <c r="BO263" i="3"/>
  <c r="BN263" i="3"/>
  <c r="BL263" i="3" s="1"/>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L258" i="3" s="1"/>
  <c r="BM258" i="3"/>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G257" i="3" s="1"/>
  <c r="H257" i="3"/>
  <c r="BT256" i="3"/>
  <c r="BS256" i="3"/>
  <c r="BR256" i="3"/>
  <c r="BQ256" i="3"/>
  <c r="BP256" i="3"/>
  <c r="BO256" i="3"/>
  <c r="BN256" i="3"/>
  <c r="BM256" i="3"/>
  <c r="BL256" i="3" s="1"/>
  <c r="BK256" i="3"/>
  <c r="BJ256" i="3"/>
  <c r="BI256" i="3"/>
  <c r="BH256" i="3"/>
  <c r="BG256" i="3"/>
  <c r="BF256" i="3"/>
  <c r="BE256" i="3"/>
  <c r="BD256" i="3"/>
  <c r="BC256" i="3"/>
  <c r="BA256" i="3" s="1"/>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A251" i="3" s="1"/>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A249" i="3" s="1"/>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G248" i="3" s="1"/>
  <c r="H248" i="3"/>
  <c r="BT247" i="3"/>
  <c r="BS247" i="3"/>
  <c r="BR247" i="3"/>
  <c r="BQ247" i="3"/>
  <c r="BP247" i="3"/>
  <c r="BO247" i="3"/>
  <c r="BN247" i="3"/>
  <c r="BM247" i="3"/>
  <c r="BK247" i="3"/>
  <c r="BJ247" i="3"/>
  <c r="BI247" i="3"/>
  <c r="BH247" i="3"/>
  <c r="BG247" i="3"/>
  <c r="BF247" i="3"/>
  <c r="BE247" i="3"/>
  <c r="BD247" i="3"/>
  <c r="BC247" i="3"/>
  <c r="BA247" i="3" s="1"/>
  <c r="BB247" i="3"/>
  <c r="AX247" i="3"/>
  <c r="AW247" i="3"/>
  <c r="AV247" i="3"/>
  <c r="AC247" i="3"/>
  <c r="H247" i="3"/>
  <c r="G247" i="3" s="1"/>
  <c r="BT246" i="3"/>
  <c r="BS246" i="3"/>
  <c r="BR246" i="3"/>
  <c r="BQ246" i="3"/>
  <c r="BP246" i="3"/>
  <c r="BO246" i="3"/>
  <c r="BN246" i="3"/>
  <c r="BL246" i="3" s="1"/>
  <c r="BM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G245" i="3" s="1"/>
  <c r="H245" i="3"/>
  <c r="BT244" i="3"/>
  <c r="BS244" i="3"/>
  <c r="BR244" i="3"/>
  <c r="BQ244" i="3"/>
  <c r="BP244" i="3"/>
  <c r="BO244" i="3"/>
  <c r="BN244" i="3"/>
  <c r="BM244" i="3"/>
  <c r="BL244" i="3" s="1"/>
  <c r="BK244" i="3"/>
  <c r="BJ244" i="3"/>
  <c r="BI244" i="3"/>
  <c r="BH244" i="3"/>
  <c r="BG244" i="3"/>
  <c r="BF244" i="3"/>
  <c r="BE244" i="3"/>
  <c r="BD244" i="3"/>
  <c r="BC244" i="3"/>
  <c r="BA244" i="3" s="1"/>
  <c r="BB244" i="3"/>
  <c r="AX244" i="3"/>
  <c r="AW244" i="3"/>
  <c r="AV244" i="3"/>
  <c r="AC244" i="3"/>
  <c r="H244" i="3"/>
  <c r="G244" i="3" s="1"/>
  <c r="BT243" i="3"/>
  <c r="BS243" i="3"/>
  <c r="BR243" i="3"/>
  <c r="BQ243" i="3"/>
  <c r="BP243" i="3"/>
  <c r="BO243" i="3"/>
  <c r="BN243" i="3"/>
  <c r="BL243" i="3" s="1"/>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X240" i="3"/>
  <c r="AW240" i="3"/>
  <c r="AV240" i="3"/>
  <c r="AC240" i="3"/>
  <c r="H240" i="3"/>
  <c r="G240" i="3" s="1"/>
  <c r="BT239" i="3"/>
  <c r="BS239" i="3"/>
  <c r="BR239" i="3"/>
  <c r="BQ239" i="3"/>
  <c r="BP239" i="3"/>
  <c r="BO239" i="3"/>
  <c r="BN239" i="3"/>
  <c r="BL239" i="3" s="1"/>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A237" i="3" s="1"/>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G231" i="3" s="1"/>
  <c r="H231" i="3"/>
  <c r="BT230" i="3"/>
  <c r="BS230" i="3"/>
  <c r="BR230" i="3"/>
  <c r="BQ230" i="3"/>
  <c r="BP230" i="3"/>
  <c r="BO230" i="3"/>
  <c r="BN230" i="3"/>
  <c r="BM230" i="3"/>
  <c r="BL230" i="3" s="1"/>
  <c r="BK230" i="3"/>
  <c r="BJ230" i="3"/>
  <c r="BI230" i="3"/>
  <c r="BH230" i="3"/>
  <c r="BG230" i="3"/>
  <c r="BF230" i="3"/>
  <c r="BE230" i="3"/>
  <c r="BD230" i="3"/>
  <c r="BC230" i="3"/>
  <c r="BA230" i="3" s="1"/>
  <c r="AZ230" i="3" s="1"/>
  <c r="BB230" i="3"/>
  <c r="AX230" i="3"/>
  <c r="AW230" i="3"/>
  <c r="AV230" i="3"/>
  <c r="AC230" i="3"/>
  <c r="H230" i="3"/>
  <c r="G230" i="3" s="1"/>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G228" i="3" s="1"/>
  <c r="H228" i="3"/>
  <c r="BT227" i="3"/>
  <c r="BS227" i="3"/>
  <c r="BR227" i="3"/>
  <c r="BQ227" i="3"/>
  <c r="BP227" i="3"/>
  <c r="BO227" i="3"/>
  <c r="BN227" i="3"/>
  <c r="BM227" i="3"/>
  <c r="BL227" i="3" s="1"/>
  <c r="BK227" i="3"/>
  <c r="BJ227" i="3"/>
  <c r="BI227" i="3"/>
  <c r="BH227" i="3"/>
  <c r="BG227" i="3"/>
  <c r="BF227" i="3"/>
  <c r="BE227" i="3"/>
  <c r="BD227" i="3"/>
  <c r="BC227" i="3"/>
  <c r="BA227" i="3" s="1"/>
  <c r="BB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G225" i="3" s="1"/>
  <c r="H225" i="3"/>
  <c r="BT224" i="3"/>
  <c r="BS224" i="3"/>
  <c r="BR224" i="3"/>
  <c r="BQ224" i="3"/>
  <c r="BP224" i="3"/>
  <c r="BO224" i="3"/>
  <c r="BN224" i="3"/>
  <c r="BM224" i="3"/>
  <c r="BL224" i="3" s="1"/>
  <c r="BK224" i="3"/>
  <c r="BJ224" i="3"/>
  <c r="BI224" i="3"/>
  <c r="BH224" i="3"/>
  <c r="BG224" i="3"/>
  <c r="BF224" i="3"/>
  <c r="BE224" i="3"/>
  <c r="BD224" i="3"/>
  <c r="BC224" i="3"/>
  <c r="BA224" i="3" s="1"/>
  <c r="BB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G223" i="3" s="1"/>
  <c r="H223" i="3"/>
  <c r="BT222" i="3"/>
  <c r="BS222" i="3"/>
  <c r="BR222" i="3"/>
  <c r="BQ222" i="3"/>
  <c r="BP222" i="3"/>
  <c r="BO222" i="3"/>
  <c r="BN222" i="3"/>
  <c r="BM222" i="3"/>
  <c r="BL222" i="3" s="1"/>
  <c r="BK222" i="3"/>
  <c r="BJ222" i="3"/>
  <c r="BI222" i="3"/>
  <c r="BH222" i="3"/>
  <c r="BG222" i="3"/>
  <c r="BF222" i="3"/>
  <c r="BE222" i="3"/>
  <c r="BD222" i="3"/>
  <c r="BC222" i="3"/>
  <c r="BA222" i="3" s="1"/>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G220" i="3" s="1"/>
  <c r="H220" i="3"/>
  <c r="BT219" i="3"/>
  <c r="BS219" i="3"/>
  <c r="BR219" i="3"/>
  <c r="BQ219" i="3"/>
  <c r="BP219" i="3"/>
  <c r="BO219" i="3"/>
  <c r="BN219" i="3"/>
  <c r="BM219" i="3"/>
  <c r="BL219" i="3" s="1"/>
  <c r="BK219" i="3"/>
  <c r="BJ219" i="3"/>
  <c r="BI219" i="3"/>
  <c r="BH219" i="3"/>
  <c r="BG219" i="3"/>
  <c r="BF219" i="3"/>
  <c r="BE219" i="3"/>
  <c r="BD219" i="3"/>
  <c r="BC219" i="3"/>
  <c r="BA219" i="3" s="1"/>
  <c r="BB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G217" i="3" s="1"/>
  <c r="H217" i="3"/>
  <c r="BT216" i="3"/>
  <c r="BS216" i="3"/>
  <c r="BR216" i="3"/>
  <c r="BQ216" i="3"/>
  <c r="BP216" i="3"/>
  <c r="BO216" i="3"/>
  <c r="BN216" i="3"/>
  <c r="BM216" i="3"/>
  <c r="BL216" i="3" s="1"/>
  <c r="BK216" i="3"/>
  <c r="BJ216" i="3"/>
  <c r="BI216" i="3"/>
  <c r="BH216" i="3"/>
  <c r="BG216" i="3"/>
  <c r="BF216" i="3"/>
  <c r="BE216" i="3"/>
  <c r="BD216" i="3"/>
  <c r="BC216" i="3"/>
  <c r="BA216" i="3" s="1"/>
  <c r="AZ216" i="3" s="1"/>
  <c r="BB216" i="3"/>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L213" i="3" s="1"/>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G212" i="3" s="1"/>
  <c r="H212" i="3"/>
  <c r="BT211" i="3"/>
  <c r="BS211" i="3"/>
  <c r="BR211" i="3"/>
  <c r="BQ211" i="3"/>
  <c r="BP211" i="3"/>
  <c r="BO211" i="3"/>
  <c r="BN211" i="3"/>
  <c r="BM211" i="3"/>
  <c r="BL211" i="3" s="1"/>
  <c r="BK211" i="3"/>
  <c r="BJ211" i="3"/>
  <c r="BI211" i="3"/>
  <c r="BH211" i="3"/>
  <c r="BG211" i="3"/>
  <c r="BF211" i="3"/>
  <c r="BE211" i="3"/>
  <c r="BD211" i="3"/>
  <c r="BC211" i="3"/>
  <c r="BA211" i="3" s="1"/>
  <c r="BB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G209" i="3" s="1"/>
  <c r="H209" i="3"/>
  <c r="BT208" i="3"/>
  <c r="BS208" i="3"/>
  <c r="BR208" i="3"/>
  <c r="BQ208" i="3"/>
  <c r="BP208" i="3"/>
  <c r="BO208" i="3"/>
  <c r="BN208" i="3"/>
  <c r="BM208" i="3"/>
  <c r="BL208" i="3" s="1"/>
  <c r="BK208" i="3"/>
  <c r="BJ208" i="3"/>
  <c r="BI208" i="3"/>
  <c r="BH208" i="3"/>
  <c r="BG208" i="3"/>
  <c r="BF208" i="3"/>
  <c r="BE208" i="3"/>
  <c r="BD208" i="3"/>
  <c r="BC208" i="3"/>
  <c r="BA208" i="3" s="1"/>
  <c r="AZ208" i="3" s="1"/>
  <c r="BB208" i="3"/>
  <c r="AX208" i="3"/>
  <c r="AW208" i="3"/>
  <c r="AV208" i="3"/>
  <c r="AC208" i="3"/>
  <c r="H208" i="3"/>
  <c r="G208" i="3" s="1"/>
  <c r="BT397" i="3"/>
  <c r="BS397" i="3"/>
  <c r="BR397" i="3"/>
  <c r="BQ397" i="3"/>
  <c r="BP397" i="3"/>
  <c r="BO397" i="3"/>
  <c r="BN397" i="3"/>
  <c r="BL397" i="3" s="1"/>
  <c r="BM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G396" i="3" s="1"/>
  <c r="H396" i="3"/>
  <c r="BT395" i="3"/>
  <c r="BS395" i="3"/>
  <c r="BR395" i="3"/>
  <c r="BQ395" i="3"/>
  <c r="BP395" i="3"/>
  <c r="BO395" i="3"/>
  <c r="BN395" i="3"/>
  <c r="BM395" i="3"/>
  <c r="BL395" i="3" s="1"/>
  <c r="BK395" i="3"/>
  <c r="BJ395" i="3"/>
  <c r="BI395" i="3"/>
  <c r="BH395" i="3"/>
  <c r="BG395" i="3"/>
  <c r="BF395" i="3"/>
  <c r="BE395" i="3"/>
  <c r="BD395" i="3"/>
  <c r="BC395" i="3"/>
  <c r="BA395" i="3" s="1"/>
  <c r="AZ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A386" i="3" s="1"/>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L350" i="3" s="1"/>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A349" i="3" s="1"/>
  <c r="BB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L317" i="3" s="1"/>
  <c r="BK317" i="3"/>
  <c r="BJ317" i="3"/>
  <c r="BI317" i="3"/>
  <c r="BH317" i="3"/>
  <c r="BG317" i="3"/>
  <c r="BF317" i="3"/>
  <c r="BE317" i="3"/>
  <c r="BD317" i="3"/>
  <c r="BC317" i="3"/>
  <c r="BA317" i="3" s="1"/>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G315" i="3" s="1"/>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H416" i="3"/>
  <c r="G416" i="3" s="1"/>
  <c r="BT415" i="3"/>
  <c r="BS415" i="3"/>
  <c r="BR415" i="3"/>
  <c r="BQ415" i="3"/>
  <c r="BP415" i="3"/>
  <c r="BO415" i="3"/>
  <c r="BL415" i="3" s="1"/>
  <c r="BN415" i="3"/>
  <c r="BM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H409" i="3"/>
  <c r="G409" i="3" s="1"/>
  <c r="BT408" i="3"/>
  <c r="BS408" i="3"/>
  <c r="BR408" i="3"/>
  <c r="BQ408" i="3"/>
  <c r="BP408" i="3"/>
  <c r="BO408" i="3"/>
  <c r="BL408" i="3" s="1"/>
  <c r="BN408" i="3"/>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L405" i="3" s="1"/>
  <c r="BN405" i="3"/>
  <c r="BM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L401" i="3" s="1"/>
  <c r="BN401" i="3"/>
  <c r="BM401" i="3"/>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H399" i="3"/>
  <c r="G399" i="3" s="1"/>
  <c r="BT398" i="3"/>
  <c r="BS398" i="3"/>
  <c r="BR398" i="3"/>
  <c r="BQ398" i="3"/>
  <c r="BP398" i="3"/>
  <c r="BO398" i="3"/>
  <c r="BL398" i="3" s="1"/>
  <c r="BN398" i="3"/>
  <c r="BM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L548" i="3" s="1"/>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c r="D114" i="34"/>
  <c r="F38" i="34"/>
  <c r="S38" i="34" s="1"/>
  <c r="D112" i="34"/>
  <c r="E112" i="34" s="1"/>
  <c r="F112" i="34"/>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H40" i="40" s="1"/>
  <c r="B118" i="40"/>
  <c r="B116" i="40"/>
  <c r="D115" i="40"/>
  <c r="E115" i="40"/>
  <c r="F115" i="40" s="1"/>
  <c r="G115" i="40"/>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s="1"/>
  <c r="F62" i="36" s="1"/>
  <c r="G62" i="36" s="1"/>
  <c r="B59" i="36"/>
  <c r="B57" i="36"/>
  <c r="J12" i="36" s="1"/>
  <c r="B55" i="36"/>
  <c r="C51" i="36"/>
  <c r="P37" i="36"/>
  <c r="P36" i="36"/>
  <c r="V35" i="36"/>
  <c r="T35" i="36"/>
  <c r="R35" i="36"/>
  <c r="P35" i="36"/>
  <c r="Q34" i="36"/>
  <c r="Z34" i="36" s="1"/>
  <c r="Q33" i="36"/>
  <c r="Z33" i="36" s="1"/>
  <c r="Q32" i="36"/>
  <c r="Z32" i="36" s="1"/>
  <c r="Q31" i="36"/>
  <c r="Z31" i="36"/>
  <c r="Q30" i="36"/>
  <c r="Z30" i="36" s="1"/>
  <c r="AC30" i="36"/>
  <c r="Q29" i="36"/>
  <c r="Z29" i="36" s="1"/>
  <c r="Q28" i="36"/>
  <c r="Z28" i="36" s="1"/>
  <c r="J28" i="36"/>
  <c r="AC28" i="36" s="1"/>
  <c r="Q27" i="36"/>
  <c r="Z27" i="36" s="1"/>
  <c r="Q26" i="36"/>
  <c r="Z26" i="36"/>
  <c r="H26" i="36"/>
  <c r="AB26" i="36" s="1"/>
  <c r="Q25" i="36"/>
  <c r="Z25" i="36"/>
  <c r="Q24" i="36"/>
  <c r="Z24" i="36" s="1"/>
  <c r="Q23" i="36"/>
  <c r="Z23" i="36" s="1"/>
  <c r="J23" i="36"/>
  <c r="AC23" i="36"/>
  <c r="H23" i="36"/>
  <c r="AB23" i="36" s="1"/>
  <c r="F23" i="36"/>
  <c r="AA23" i="36"/>
  <c r="Q22" i="36"/>
  <c r="Z22" i="36" s="1"/>
  <c r="J22" i="36"/>
  <c r="AC22" i="36"/>
  <c r="Q20" i="36"/>
  <c r="Z20" i="36" s="1"/>
  <c r="Q16" i="36"/>
  <c r="Z16" i="36"/>
  <c r="Q14" i="36"/>
  <c r="Z14" i="36" s="1"/>
  <c r="Q13" i="36"/>
  <c r="Z13" i="36"/>
  <c r="Q12" i="36"/>
  <c r="Z12" i="36" s="1"/>
  <c r="Q11" i="36"/>
  <c r="Z11" i="36" s="1"/>
  <c r="Q10" i="36"/>
  <c r="Z10" i="36"/>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AB34" i="35" s="1"/>
  <c r="B77" i="35"/>
  <c r="B75" i="35"/>
  <c r="J24" i="35" s="1"/>
  <c r="AC24" i="35" s="1"/>
  <c r="B73" i="35"/>
  <c r="H23" i="35"/>
  <c r="U23" i="35" s="1"/>
  <c r="B57" i="35"/>
  <c r="B61" i="35"/>
  <c r="B59" i="35"/>
  <c r="J12" i="35" s="1"/>
  <c r="W12" i="35" s="1"/>
  <c r="B131" i="34"/>
  <c r="B129" i="34"/>
  <c r="B127" i="34"/>
  <c r="B99" i="34"/>
  <c r="B97" i="34"/>
  <c r="B95" i="34"/>
  <c r="B93" i="34"/>
  <c r="B75" i="34"/>
  <c r="B73" i="34"/>
  <c r="B71" i="34"/>
  <c r="F12" i="34" s="1"/>
  <c r="B130" i="33"/>
  <c r="B128" i="33"/>
  <c r="B126" i="33"/>
  <c r="B98" i="33"/>
  <c r="B96" i="33"/>
  <c r="B94" i="33"/>
  <c r="B74" i="33"/>
  <c r="B72" i="33"/>
  <c r="B70" i="33"/>
  <c r="J12" i="33"/>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s="1"/>
  <c r="P39" i="35"/>
  <c r="P38" i="35"/>
  <c r="V37" i="35"/>
  <c r="T37" i="35"/>
  <c r="R37" i="35"/>
  <c r="P37" i="35"/>
  <c r="Q36" i="35"/>
  <c r="Z36" i="35" s="1"/>
  <c r="Q35" i="35"/>
  <c r="Z35" i="35" s="1"/>
  <c r="Q34" i="35"/>
  <c r="Z34" i="35"/>
  <c r="J34" i="35"/>
  <c r="AC34" i="35" s="1"/>
  <c r="F34" i="35"/>
  <c r="AA34" i="35" s="1"/>
  <c r="Q33" i="35"/>
  <c r="Z33" i="35"/>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s="1"/>
  <c r="Q10" i="35"/>
  <c r="Z10" i="35"/>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c r="I90" i="34" s="1"/>
  <c r="J90" i="34" s="1"/>
  <c r="K90" i="34" s="1"/>
  <c r="L90" i="34" s="1"/>
  <c r="M90" i="34" s="1"/>
  <c r="C15" i="34"/>
  <c r="D126" i="34"/>
  <c r="E126" i="34"/>
  <c r="F126" i="34" s="1"/>
  <c r="G126" i="34" s="1"/>
  <c r="D124" i="34"/>
  <c r="E124" i="34"/>
  <c r="F124" i="34" s="1"/>
  <c r="G124" i="34" s="1"/>
  <c r="H124" i="34" s="1"/>
  <c r="I124" i="34"/>
  <c r="J124" i="34" s="1"/>
  <c r="K124" i="34" s="1"/>
  <c r="L124" i="34" s="1"/>
  <c r="M124" i="34"/>
  <c r="H43" i="34"/>
  <c r="AB43" i="34" s="1"/>
  <c r="D118" i="34"/>
  <c r="E118" i="34"/>
  <c r="F118" i="34" s="1"/>
  <c r="G118" i="34" s="1"/>
  <c r="D116" i="34"/>
  <c r="E116" i="34"/>
  <c r="F116" i="34" s="1"/>
  <c r="G116" i="34" s="1"/>
  <c r="H116" i="34" s="1"/>
  <c r="I116" i="34"/>
  <c r="J116" i="34" s="1"/>
  <c r="K116" i="34" s="1"/>
  <c r="L116" i="34" s="1"/>
  <c r="M116" i="34"/>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c r="I92" i="34" s="1"/>
  <c r="J92" i="34" s="1"/>
  <c r="K92" i="34" s="1"/>
  <c r="L92" i="34" s="1"/>
  <c r="M92" i="34" s="1"/>
  <c r="B91" i="34"/>
  <c r="B89" i="34"/>
  <c r="J27" i="34"/>
  <c r="D88" i="34"/>
  <c r="E88" i="34" s="1"/>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c r="Q13" i="34"/>
  <c r="Z13" i="34" s="1"/>
  <c r="Q12" i="34"/>
  <c r="Z12" i="34"/>
  <c r="J12" i="34"/>
  <c r="W12" i="34" s="1"/>
  <c r="H12" i="34"/>
  <c r="Q11" i="34"/>
  <c r="Z11" i="34" s="1"/>
  <c r="Q10" i="34"/>
  <c r="Z10" i="34" s="1"/>
  <c r="F10" i="34"/>
  <c r="AA10" i="34" s="1"/>
  <c r="Q9" i="34"/>
  <c r="Z9" i="34" s="1"/>
  <c r="H9" i="34"/>
  <c r="J8" i="34"/>
  <c r="AC8" i="34" s="1"/>
  <c r="H8" i="34"/>
  <c r="U8" i="34" s="1"/>
  <c r="F8" i="34"/>
  <c r="D121" i="33"/>
  <c r="E121" i="33" s="1"/>
  <c r="F109" i="33"/>
  <c r="E109" i="33"/>
  <c r="D109" i="33"/>
  <c r="C109" i="33"/>
  <c r="D91" i="33"/>
  <c r="E91" i="33"/>
  <c r="B88" i="33"/>
  <c r="J26" i="33" s="1"/>
  <c r="C23" i="33"/>
  <c r="C19" i="33"/>
  <c r="C17" i="33"/>
  <c r="C15" i="33"/>
  <c r="C15" i="21"/>
  <c r="D125" i="33"/>
  <c r="D123" i="33"/>
  <c r="D117" i="33"/>
  <c r="E117" i="33" s="1"/>
  <c r="F117" i="33" s="1"/>
  <c r="G117" i="33" s="1"/>
  <c r="D115" i="33"/>
  <c r="E115" i="33" s="1"/>
  <c r="F115" i="33"/>
  <c r="G115" i="33" s="1"/>
  <c r="H115" i="33" s="1"/>
  <c r="I115" i="33" s="1"/>
  <c r="J115" i="33"/>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c r="I69" i="33" s="1"/>
  <c r="J69" i="33" s="1"/>
  <c r="K69" i="33" s="1"/>
  <c r="L69" i="33" s="1"/>
  <c r="M69" i="33" s="1"/>
  <c r="M67" i="33"/>
  <c r="L67" i="33"/>
  <c r="K67" i="33"/>
  <c r="J67" i="33"/>
  <c r="I67" i="33"/>
  <c r="H67" i="33"/>
  <c r="G67" i="33"/>
  <c r="F67" i="33"/>
  <c r="E67" i="33"/>
  <c r="D67" i="33"/>
  <c r="C67" i="33"/>
  <c r="C63" i="33"/>
  <c r="J9" i="33" s="1"/>
  <c r="AC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c r="H40" i="33"/>
  <c r="AB40" i="33" s="1"/>
  <c r="AA40" i="33"/>
  <c r="Q39" i="33"/>
  <c r="Z39" i="33" s="1"/>
  <c r="J39" i="33"/>
  <c r="AC39" i="33"/>
  <c r="Q38" i="33"/>
  <c r="Z38" i="33" s="1"/>
  <c r="J38" i="33"/>
  <c r="AC38" i="33"/>
  <c r="H38" i="33"/>
  <c r="AB38" i="33" s="1"/>
  <c r="F38" i="33"/>
  <c r="AA38" i="33"/>
  <c r="Q37" i="33"/>
  <c r="Z37" i="33" s="1"/>
  <c r="Q36" i="33"/>
  <c r="Z36" i="33"/>
  <c r="Q35" i="33"/>
  <c r="Z35" i="33" s="1"/>
  <c r="H35" i="33"/>
  <c r="AB35" i="33" s="1"/>
  <c r="Q34" i="33"/>
  <c r="Z34" i="33" s="1"/>
  <c r="Q33" i="33"/>
  <c r="Z33" i="33"/>
  <c r="J33" i="33"/>
  <c r="AC33" i="33" s="1"/>
  <c r="H33" i="33"/>
  <c r="AB33" i="33" s="1"/>
  <c r="F33" i="33"/>
  <c r="AA33" i="33" s="1"/>
  <c r="Q32" i="33"/>
  <c r="Z32" i="33" s="1"/>
  <c r="Q31" i="33"/>
  <c r="Z31" i="33" s="1"/>
  <c r="Q30" i="33"/>
  <c r="Z30" i="33"/>
  <c r="Q29" i="33"/>
  <c r="Z29" i="33" s="1"/>
  <c r="Q28" i="33"/>
  <c r="Z28" i="33"/>
  <c r="Q27" i="33"/>
  <c r="Z27" i="33" s="1"/>
  <c r="Q26" i="33"/>
  <c r="Z26" i="33" s="1"/>
  <c r="Q25" i="33"/>
  <c r="Z25" i="33" s="1"/>
  <c r="Q23" i="33"/>
  <c r="Z23" i="33" s="1"/>
  <c r="Q19" i="33"/>
  <c r="Z19" i="33" s="1"/>
  <c r="Q17" i="33"/>
  <c r="Z17" i="33"/>
  <c r="Q15" i="33"/>
  <c r="Z15" i="33" s="1"/>
  <c r="F15" i="33"/>
  <c r="AA15" i="33" s="1"/>
  <c r="Q14" i="33"/>
  <c r="Z14" i="33" s="1"/>
  <c r="Q13" i="33"/>
  <c r="Z13" i="33" s="1"/>
  <c r="Q12" i="33"/>
  <c r="Z12" i="33" s="1"/>
  <c r="H12" i="33"/>
  <c r="U12" i="33" s="1"/>
  <c r="Q11" i="33"/>
  <c r="Z11" i="33" s="1"/>
  <c r="Q10" i="33"/>
  <c r="Z10" i="33"/>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c r="G16" i="20"/>
  <c r="B84" i="43" s="1"/>
  <c r="G15" i="20"/>
  <c r="B83" i="43"/>
  <c r="C24" i="20"/>
  <c r="B97" i="43" s="1"/>
  <c r="C21" i="20"/>
  <c r="B99" i="43" s="1"/>
  <c r="C20" i="20"/>
  <c r="B101" i="43" s="1"/>
  <c r="C18" i="20"/>
  <c r="B94" i="43" s="1"/>
  <c r="C17" i="20"/>
  <c r="B61" i="43" s="1"/>
  <c r="C16" i="20"/>
  <c r="C17" i="39"/>
  <c r="C15" i="20"/>
  <c r="B72" i="43" s="1"/>
  <c r="E54" i="21"/>
  <c r="F54" i="21" s="1"/>
  <c r="I54" i="21"/>
  <c r="J54" i="21" s="1"/>
  <c r="G54" i="21"/>
  <c r="H54" i="21" s="1"/>
  <c r="D125" i="21"/>
  <c r="E125" i="21"/>
  <c r="F125" i="21"/>
  <c r="G125" i="21" s="1"/>
  <c r="D123" i="21"/>
  <c r="E123" i="21"/>
  <c r="F123" i="21" s="1"/>
  <c r="G123" i="21" s="1"/>
  <c r="H123" i="21" s="1"/>
  <c r="I123" i="21" s="1"/>
  <c r="J123" i="21" s="1"/>
  <c r="K123" i="21" s="1"/>
  <c r="L123" i="21" s="1"/>
  <c r="M123" i="21" s="1"/>
  <c r="F42" i="21"/>
  <c r="AA42" i="21" s="1"/>
  <c r="D119" i="21"/>
  <c r="F40" i="21"/>
  <c r="AA40" i="21" s="1"/>
  <c r="D117" i="21"/>
  <c r="E117" i="21"/>
  <c r="F117" i="21"/>
  <c r="G117" i="21" s="1"/>
  <c r="D115" i="21"/>
  <c r="E115" i="21"/>
  <c r="F115" i="21"/>
  <c r="G115" i="21" s="1"/>
  <c r="H115" i="21" s="1"/>
  <c r="I115" i="21"/>
  <c r="J115" i="21" s="1"/>
  <c r="K115" i="21" s="1"/>
  <c r="L115" i="21" s="1"/>
  <c r="M115" i="21" s="1"/>
  <c r="D113" i="21"/>
  <c r="E113" i="21" s="1"/>
  <c r="F113" i="21" s="1"/>
  <c r="G113" i="21"/>
  <c r="H113" i="21" s="1"/>
  <c r="D110" i="21"/>
  <c r="E110" i="21" s="1"/>
  <c r="F110" i="21"/>
  <c r="G110" i="2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s="1"/>
  <c r="G106" i="21" s="1"/>
  <c r="H106" i="2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c r="G79" i="21"/>
  <c r="D85" i="21"/>
  <c r="F19" i="21"/>
  <c r="AA19" i="21"/>
  <c r="E81" i="21"/>
  <c r="F81" i="21" s="1"/>
  <c r="G81" i="21" s="1"/>
  <c r="D77" i="21"/>
  <c r="E77" i="21" s="1"/>
  <c r="B130" i="21"/>
  <c r="B128" i="21"/>
  <c r="J45" i="21"/>
  <c r="W45" i="21" s="1"/>
  <c r="B126" i="21"/>
  <c r="B98" i="21"/>
  <c r="H31" i="21"/>
  <c r="B96" i="21"/>
  <c r="B94" i="21"/>
  <c r="J29" i="21" s="1"/>
  <c r="AC29" i="21"/>
  <c r="B92" i="21"/>
  <c r="B90" i="21"/>
  <c r="J27" i="21" s="1"/>
  <c r="W27" i="21"/>
  <c r="B74" i="21"/>
  <c r="B72" i="21"/>
  <c r="H13" i="21" s="1"/>
  <c r="B70" i="21"/>
  <c r="F12" i="21"/>
  <c r="S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S34" i="21" s="1"/>
  <c r="H34" i="21"/>
  <c r="AB34" i="21" s="1"/>
  <c r="F43" i="21"/>
  <c r="S43" i="21" s="1"/>
  <c r="H38" i="21"/>
  <c r="U38" i="21" s="1"/>
  <c r="H43" i="21"/>
  <c r="AB43" i="21"/>
  <c r="F38" i="21"/>
  <c r="S38" i="21" s="1"/>
  <c r="F36" i="21"/>
  <c r="S36" i="21" s="1"/>
  <c r="F39" i="21"/>
  <c r="AA39" i="21" s="1"/>
  <c r="J40" i="21"/>
  <c r="W40" i="21" s="1"/>
  <c r="H35" i="21"/>
  <c r="AB35" i="21" s="1"/>
  <c r="J8" i="21"/>
  <c r="AC8" i="21" s="1"/>
  <c r="H8" i="21"/>
  <c r="U8" i="21" s="1"/>
  <c r="H10" i="21"/>
  <c r="AB10" i="21" s="1"/>
  <c r="H39" i="21"/>
  <c r="U39" i="21"/>
  <c r="J34" i="21"/>
  <c r="W34" i="21" s="1"/>
  <c r="H36" i="21"/>
  <c r="U36" i="21"/>
  <c r="F35" i="21"/>
  <c r="AA35" i="21" s="1"/>
  <c r="J10" i="21"/>
  <c r="AC10" i="21" s="1"/>
  <c r="H26" i="21"/>
  <c r="AB26" i="21" s="1"/>
  <c r="AB19" i="21"/>
  <c r="J19" i="21"/>
  <c r="W19" i="21"/>
  <c r="J12" i="21"/>
  <c r="AC12" i="21" s="1"/>
  <c r="H12" i="21"/>
  <c r="AB12" i="21" s="1"/>
  <c r="J26" i="21"/>
  <c r="W26" i="21"/>
  <c r="F26" i="21"/>
  <c r="S26" i="21" s="1"/>
  <c r="AB41" i="21"/>
  <c r="S41" i="21"/>
  <c r="AA41" i="21"/>
  <c r="F45" i="39"/>
  <c r="S45" i="39" s="1"/>
  <c r="J45" i="39"/>
  <c r="W45" i="39"/>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U14" i="37"/>
  <c r="F29" i="36"/>
  <c r="AA29" i="36" s="1"/>
  <c r="F16" i="36"/>
  <c r="AA16" i="36" s="1"/>
  <c r="U9" i="36"/>
  <c r="U31" i="36"/>
  <c r="J33" i="36"/>
  <c r="AC33" i="36" s="1"/>
  <c r="H22" i="35"/>
  <c r="AB22" i="35" s="1"/>
  <c r="AC27" i="35"/>
  <c r="W28" i="35"/>
  <c r="U31" i="35"/>
  <c r="W34" i="35"/>
  <c r="W22" i="35"/>
  <c r="S31" i="35"/>
  <c r="U34" i="35"/>
  <c r="F36" i="34"/>
  <c r="J35" i="34"/>
  <c r="U34" i="34"/>
  <c r="H39" i="33"/>
  <c r="AB39" i="33"/>
  <c r="W39" i="33"/>
  <c r="H39" i="37"/>
  <c r="AB39" i="37" s="1"/>
  <c r="S27" i="35"/>
  <c r="F11" i="40"/>
  <c r="AA11" i="40" s="1"/>
  <c r="H11" i="40"/>
  <c r="AB11" i="40"/>
  <c r="W8" i="40"/>
  <c r="AC40" i="40"/>
  <c r="AA9" i="40"/>
  <c r="AC9" i="40"/>
  <c r="U9" i="40"/>
  <c r="S34" i="40"/>
  <c r="S40" i="40"/>
  <c r="W31"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J31" i="39"/>
  <c r="H27" i="39"/>
  <c r="U27" i="39" s="1"/>
  <c r="J19" i="39"/>
  <c r="AC19" i="39" s="1"/>
  <c r="J17" i="39"/>
  <c r="J27" i="39"/>
  <c r="AC27" i="39" s="1"/>
  <c r="F27" i="39"/>
  <c r="F11" i="21"/>
  <c r="S11" i="21" s="1"/>
  <c r="S40" i="21"/>
  <c r="U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c r="J11" i="40"/>
  <c r="W11" i="40" s="1"/>
  <c r="AB8" i="39"/>
  <c r="AB12" i="33"/>
  <c r="AC12" i="34"/>
  <c r="W32" i="40"/>
  <c r="F37" i="39"/>
  <c r="AA37" i="39" s="1"/>
  <c r="J34" i="36"/>
  <c r="W34" i="36" s="1"/>
  <c r="U30" i="36"/>
  <c r="J30" i="35"/>
  <c r="W30" i="35" s="1"/>
  <c r="H30" i="35"/>
  <c r="AB30" i="35" s="1"/>
  <c r="F22" i="35"/>
  <c r="AA22" i="35" s="1"/>
  <c r="H10" i="35"/>
  <c r="U10" i="35" s="1"/>
  <c r="AC16" i="36"/>
  <c r="F33" i="36"/>
  <c r="AA33" i="36" s="1"/>
  <c r="W30" i="36"/>
  <c r="H16" i="36"/>
  <c r="AB16" i="36" s="1"/>
  <c r="E85" i="36"/>
  <c r="F85" i="36"/>
  <c r="G85" i="36"/>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s="1"/>
  <c r="F16" i="35"/>
  <c r="S16" i="35"/>
  <c r="H14" i="35"/>
  <c r="AB14" i="35" s="1"/>
  <c r="J29" i="35"/>
  <c r="H33" i="35"/>
  <c r="AB33" i="35"/>
  <c r="J20" i="35"/>
  <c r="W20" i="35" s="1"/>
  <c r="F35" i="37"/>
  <c r="S35" i="37"/>
  <c r="E101" i="37"/>
  <c r="F101" i="37" s="1"/>
  <c r="G101" i="37" s="1"/>
  <c r="H101" i="37" s="1"/>
  <c r="I101" i="37" s="1"/>
  <c r="J101" i="37" s="1"/>
  <c r="K101" i="37" s="1"/>
  <c r="L101" i="37" s="1"/>
  <c r="M101" i="37" s="1"/>
  <c r="J34" i="37"/>
  <c r="W34" i="37"/>
  <c r="AA39" i="37"/>
  <c r="AB34" i="37"/>
  <c r="J33" i="37"/>
  <c r="AC33" i="37" s="1"/>
  <c r="U42" i="34"/>
  <c r="H40" i="34"/>
  <c r="U40" i="34" s="1"/>
  <c r="E114" i="34"/>
  <c r="H36" i="34"/>
  <c r="U36" i="34"/>
  <c r="F37" i="34"/>
  <c r="AA37" i="34" s="1"/>
  <c r="S35" i="34"/>
  <c r="F28" i="34"/>
  <c r="AA28" i="34"/>
  <c r="F27" i="34"/>
  <c r="AA27" i="34" s="1"/>
  <c r="F25" i="34"/>
  <c r="S25" i="34"/>
  <c r="H23" i="34"/>
  <c r="U23" i="34" s="1"/>
  <c r="J23" i="34"/>
  <c r="F19" i="34"/>
  <c r="H17" i="34"/>
  <c r="U17" i="34" s="1"/>
  <c r="F15" i="34"/>
  <c r="J15" i="34"/>
  <c r="H15" i="34"/>
  <c r="AB15" i="34" s="1"/>
  <c r="W8" i="34"/>
  <c r="J28" i="34"/>
  <c r="W28" i="34" s="1"/>
  <c r="F41" i="33"/>
  <c r="AA41" i="33"/>
  <c r="S38" i="33"/>
  <c r="E113" i="33"/>
  <c r="F32" i="33"/>
  <c r="S32" i="33" s="1"/>
  <c r="AA32" i="33"/>
  <c r="J19" i="33"/>
  <c r="AC19" i="33" s="1"/>
  <c r="J15" i="33"/>
  <c r="AC15" i="33"/>
  <c r="F11" i="33"/>
  <c r="AA11" i="33" s="1"/>
  <c r="U40" i="33"/>
  <c r="W40" i="33"/>
  <c r="F37" i="40"/>
  <c r="AA37" i="40" s="1"/>
  <c r="F36" i="40"/>
  <c r="AA36" i="40"/>
  <c r="H28" i="40"/>
  <c r="U28" i="40" s="1"/>
  <c r="F23" i="40"/>
  <c r="AA23" i="40"/>
  <c r="F17" i="40"/>
  <c r="AA17" i="40" s="1"/>
  <c r="J17" i="40"/>
  <c r="W17" i="40"/>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s="1"/>
  <c r="J19" i="34"/>
  <c r="AC19" i="34"/>
  <c r="F17" i="34"/>
  <c r="AA17" i="34" s="1"/>
  <c r="J17" i="34"/>
  <c r="W17" i="34"/>
  <c r="AB17" i="34"/>
  <c r="AA15" i="34"/>
  <c r="S15" i="34"/>
  <c r="S41" i="33"/>
  <c r="F113" i="33"/>
  <c r="G113" i="33" s="1"/>
  <c r="H113" i="33" s="1"/>
  <c r="I113" i="33" s="1"/>
  <c r="J113" i="33" s="1"/>
  <c r="K113" i="33" s="1"/>
  <c r="L113" i="33" s="1"/>
  <c r="M113" i="33" s="1"/>
  <c r="H37" i="33"/>
  <c r="AB37" i="33" s="1"/>
  <c r="H15" i="33"/>
  <c r="AB15" i="33"/>
  <c r="H11" i="33"/>
  <c r="AB11" i="33" s="1"/>
  <c r="F28" i="40"/>
  <c r="AA28" i="40"/>
  <c r="AA29" i="35"/>
  <c r="AA42" i="34"/>
  <c r="S42" i="34"/>
  <c r="AC38" i="34"/>
  <c r="AA38" i="34"/>
  <c r="J37" i="34"/>
  <c r="AC37" i="34" s="1"/>
  <c r="J11" i="33"/>
  <c r="W11" i="33" s="1"/>
  <c r="S28" i="34"/>
  <c r="U23" i="40"/>
  <c r="J42" i="21"/>
  <c r="AC42" i="21" s="1"/>
  <c r="H42" i="21"/>
  <c r="U42" i="21"/>
  <c r="J44" i="34"/>
  <c r="F44" i="34"/>
  <c r="AA44" i="34" s="1"/>
  <c r="J10" i="35"/>
  <c r="AC10" i="35" s="1"/>
  <c r="BL587" i="3"/>
  <c r="J14" i="21"/>
  <c r="W14" i="21" s="1"/>
  <c r="F14" i="21"/>
  <c r="S14" i="21"/>
  <c r="H14" i="21"/>
  <c r="U14" i="21" s="1"/>
  <c r="H28" i="21"/>
  <c r="AB28" i="21"/>
  <c r="F28" i="21"/>
  <c r="AA28" i="21" s="1"/>
  <c r="J28" i="21"/>
  <c r="W28" i="21"/>
  <c r="H30" i="21"/>
  <c r="U30" i="21" s="1"/>
  <c r="F30" i="21"/>
  <c r="S30" i="21"/>
  <c r="J30" i="21"/>
  <c r="AC30" i="21" s="1"/>
  <c r="J44" i="21"/>
  <c r="AC44" i="21"/>
  <c r="H44" i="21"/>
  <c r="U44" i="21" s="1"/>
  <c r="F44" i="21"/>
  <c r="AA44" i="21"/>
  <c r="H46" i="21"/>
  <c r="U46" i="21" s="1"/>
  <c r="J46" i="21"/>
  <c r="W46" i="21"/>
  <c r="F46" i="21"/>
  <c r="AA46" i="21" s="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c r="H14" i="36"/>
  <c r="U14" i="36" s="1"/>
  <c r="F28" i="36"/>
  <c r="AA28" i="36" s="1"/>
  <c r="J13" i="21"/>
  <c r="AC13" i="21"/>
  <c r="H27" i="21"/>
  <c r="AB27" i="21" s="1"/>
  <c r="F27" i="21"/>
  <c r="AA27" i="21"/>
  <c r="H29" i="21"/>
  <c r="U29" i="21" s="1"/>
  <c r="J31" i="21"/>
  <c r="AC31" i="21"/>
  <c r="F31" i="21"/>
  <c r="S31" i="21" s="1"/>
  <c r="F45" i="21"/>
  <c r="AA45" i="21"/>
  <c r="F27" i="33"/>
  <c r="AA27" i="33" s="1"/>
  <c r="J13" i="33"/>
  <c r="H13" i="33"/>
  <c r="U13" i="33" s="1"/>
  <c r="F13" i="33"/>
  <c r="S13" i="33" s="1"/>
  <c r="J29" i="33"/>
  <c r="AC29" i="33" s="1"/>
  <c r="H29" i="33"/>
  <c r="U29" i="33" s="1"/>
  <c r="F29" i="33"/>
  <c r="S29" i="33" s="1"/>
  <c r="J31" i="33"/>
  <c r="W31" i="33" s="1"/>
  <c r="H31" i="33"/>
  <c r="F31" i="33"/>
  <c r="H45" i="33"/>
  <c r="U45" i="33" s="1"/>
  <c r="J45" i="33"/>
  <c r="W45" i="33"/>
  <c r="F45" i="33"/>
  <c r="AA45" i="33" s="1"/>
  <c r="J14" i="34"/>
  <c r="W14" i="34"/>
  <c r="F14" i="34"/>
  <c r="S14" i="34" s="1"/>
  <c r="H14" i="34"/>
  <c r="H30" i="34"/>
  <c r="F30" i="34"/>
  <c r="S30" i="34" s="1"/>
  <c r="J30" i="34"/>
  <c r="W30" i="34"/>
  <c r="H32" i="34"/>
  <c r="F32" i="34"/>
  <c r="J32" i="34"/>
  <c r="W32" i="34"/>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c r="G89" i="37"/>
  <c r="H89" i="37" s="1"/>
  <c r="I89" i="37" s="1"/>
  <c r="J89" i="37" s="1"/>
  <c r="K89" i="37" s="1"/>
  <c r="L89" i="37" s="1"/>
  <c r="M89" i="37" s="1"/>
  <c r="J29" i="37"/>
  <c r="W29" i="37"/>
  <c r="F29" i="37"/>
  <c r="S29" i="37" s="1"/>
  <c r="F105" i="37"/>
  <c r="G105" i="37" s="1"/>
  <c r="H36" i="37"/>
  <c r="AB36" i="37" s="1"/>
  <c r="F107" i="37"/>
  <c r="J37" i="37"/>
  <c r="AC37" i="37"/>
  <c r="H37" i="37"/>
  <c r="U37" i="37" s="1"/>
  <c r="H40" i="37"/>
  <c r="U40" i="37"/>
  <c r="J40" i="37"/>
  <c r="AC40" i="37" s="1"/>
  <c r="F40" i="37"/>
  <c r="AA40" i="37"/>
  <c r="AC12" i="40"/>
  <c r="W12" i="40"/>
  <c r="H14" i="33"/>
  <c r="U14" i="33"/>
  <c r="F14" i="33"/>
  <c r="S14" i="33" s="1"/>
  <c r="J14" i="33"/>
  <c r="H30" i="33"/>
  <c r="AB30" i="33" s="1"/>
  <c r="F30" i="33"/>
  <c r="J30" i="33"/>
  <c r="H44" i="33"/>
  <c r="J44" i="33"/>
  <c r="AC44" i="33" s="1"/>
  <c r="F44" i="33"/>
  <c r="S44" i="33"/>
  <c r="J46" i="33"/>
  <c r="AC46" i="33" s="1"/>
  <c r="F46" i="33"/>
  <c r="AA46" i="33"/>
  <c r="H46" i="33"/>
  <c r="AB46" i="33" s="1"/>
  <c r="H13" i="34"/>
  <c r="U13" i="34"/>
  <c r="J13" i="34"/>
  <c r="W13" i="34" s="1"/>
  <c r="F13" i="34"/>
  <c r="AA13" i="34" s="1"/>
  <c r="J29" i="34"/>
  <c r="F29" i="34"/>
  <c r="S29" i="34" s="1"/>
  <c r="H29" i="34"/>
  <c r="AB29" i="34"/>
  <c r="J31" i="34"/>
  <c r="AC31" i="34" s="1"/>
  <c r="H31" i="34"/>
  <c r="AB31" i="34"/>
  <c r="F31" i="34"/>
  <c r="S31" i="34" s="1"/>
  <c r="H45" i="34"/>
  <c r="U45" i="34"/>
  <c r="J45" i="34"/>
  <c r="W45" i="34" s="1"/>
  <c r="F45" i="34"/>
  <c r="S45" i="34"/>
  <c r="H47" i="34"/>
  <c r="U47" i="34" s="1"/>
  <c r="F47" i="34"/>
  <c r="S47" i="34"/>
  <c r="J47" i="34"/>
  <c r="AC47" i="34" s="1"/>
  <c r="F13" i="35"/>
  <c r="S13" i="35"/>
  <c r="J13" i="35"/>
  <c r="AC13" i="35" s="1"/>
  <c r="H13" i="35"/>
  <c r="U13" i="35"/>
  <c r="J25" i="35"/>
  <c r="W25" i="35" s="1"/>
  <c r="F25" i="35"/>
  <c r="S25" i="35"/>
  <c r="H25" i="35"/>
  <c r="AB25" i="35" s="1"/>
  <c r="J35" i="35"/>
  <c r="AC35" i="35"/>
  <c r="F35" i="35"/>
  <c r="AA35" i="35" s="1"/>
  <c r="H35" i="35"/>
  <c r="AB35" i="35"/>
  <c r="J25" i="36"/>
  <c r="W25" i="36" s="1"/>
  <c r="F25" i="36"/>
  <c r="S25" i="36"/>
  <c r="H25" i="36"/>
  <c r="AB25" i="36" s="1"/>
  <c r="H13" i="37"/>
  <c r="AB13" i="37" s="1"/>
  <c r="F13" i="37"/>
  <c r="S13" i="37" s="1"/>
  <c r="J13" i="37"/>
  <c r="W13" i="37" s="1"/>
  <c r="F28" i="37"/>
  <c r="AA28" i="37"/>
  <c r="J28" i="37"/>
  <c r="AC28" i="37" s="1"/>
  <c r="H28" i="37"/>
  <c r="U28" i="37"/>
  <c r="H38" i="37"/>
  <c r="AB38" i="37" s="1"/>
  <c r="J38" i="37"/>
  <c r="AC38" i="37"/>
  <c r="F38" i="37"/>
  <c r="S38" i="37" s="1"/>
  <c r="F43" i="39"/>
  <c r="AA43" i="39"/>
  <c r="H43" i="39"/>
  <c r="J14" i="39"/>
  <c r="AC14" i="39" s="1"/>
  <c r="F14" i="39"/>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S14" i="37"/>
  <c r="F27" i="37"/>
  <c r="AA27" i="37" s="1"/>
  <c r="F13" i="39"/>
  <c r="J13" i="39"/>
  <c r="W13" i="39" s="1"/>
  <c r="H13" i="39"/>
  <c r="H14" i="40"/>
  <c r="AB14" i="40" s="1"/>
  <c r="J14" i="40"/>
  <c r="W14" i="40"/>
  <c r="F14" i="40"/>
  <c r="AA14" i="40" s="1"/>
  <c r="J14" i="37"/>
  <c r="AC14" i="37"/>
  <c r="J27" i="37"/>
  <c r="AC27" i="37" s="1"/>
  <c r="AA44" i="33"/>
  <c r="AA13" i="35"/>
  <c r="U31" i="34"/>
  <c r="AA14" i="33"/>
  <c r="J36" i="37"/>
  <c r="AC36" i="37" s="1"/>
  <c r="J10" i="36"/>
  <c r="AC10" i="36" s="1"/>
  <c r="AB26" i="33"/>
  <c r="AB30" i="21"/>
  <c r="AA14" i="37"/>
  <c r="W31" i="34"/>
  <c r="AC13" i="36"/>
  <c r="W13" i="36"/>
  <c r="AB46" i="34"/>
  <c r="AC30" i="34"/>
  <c r="AA14" i="34"/>
  <c r="S45" i="33"/>
  <c r="AB45" i="33"/>
  <c r="AB31" i="33"/>
  <c r="U31" i="33"/>
  <c r="W29" i="33"/>
  <c r="AC28" i="21"/>
  <c r="S44" i="34"/>
  <c r="BA586" i="3"/>
  <c r="BA585" i="3"/>
  <c r="F17" i="21"/>
  <c r="AA17" i="21"/>
  <c r="H17" i="21"/>
  <c r="AB17" i="21" s="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AZ554" i="3" s="1"/>
  <c r="BL546" i="3"/>
  <c r="BL542" i="3"/>
  <c r="BL538" i="3"/>
  <c r="BL534" i="3"/>
  <c r="AZ534" i="3" s="1"/>
  <c r="BL530" i="3"/>
  <c r="BL526" i="3"/>
  <c r="BL522" i="3"/>
  <c r="BL516" i="3"/>
  <c r="BL512" i="3"/>
  <c r="BL506" i="3"/>
  <c r="BL502" i="3"/>
  <c r="BL498" i="3"/>
  <c r="AZ498" i="3" s="1"/>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s="1"/>
  <c r="BA578" i="3"/>
  <c r="AZ578" i="3"/>
  <c r="BA576" i="3"/>
  <c r="AZ576" i="3" s="1"/>
  <c r="BA574" i="3"/>
  <c r="AZ574" i="3"/>
  <c r="BA572" i="3"/>
  <c r="AZ572" i="3" s="1"/>
  <c r="BA570" i="3"/>
  <c r="AZ570" i="3"/>
  <c r="BA568" i="3"/>
  <c r="AZ568" i="3" s="1"/>
  <c r="BA566" i="3"/>
  <c r="AZ566" i="3"/>
  <c r="BA564" i="3"/>
  <c r="AZ564" i="3" s="1"/>
  <c r="BA562" i="3"/>
  <c r="AZ562" i="3"/>
  <c r="BA560" i="3"/>
  <c r="BA558" i="3"/>
  <c r="BA556" i="3"/>
  <c r="AZ556" i="3" s="1"/>
  <c r="BA554" i="3"/>
  <c r="BA552" i="3"/>
  <c r="AZ552" i="3" s="1"/>
  <c r="BA548" i="3"/>
  <c r="AZ548" i="3" s="1"/>
  <c r="BA546" i="3"/>
  <c r="BA544" i="3"/>
  <c r="AZ544" i="3" s="1"/>
  <c r="BA542" i="3"/>
  <c r="AZ542" i="3"/>
  <c r="BA540" i="3"/>
  <c r="AZ540" i="3" s="1"/>
  <c r="BA538" i="3"/>
  <c r="AZ538" i="3"/>
  <c r="BA536" i="3"/>
  <c r="AZ536" i="3" s="1"/>
  <c r="BA534" i="3"/>
  <c r="BA532" i="3"/>
  <c r="AZ532" i="3" s="1"/>
  <c r="BA530" i="3"/>
  <c r="BA528" i="3"/>
  <c r="AZ528" i="3"/>
  <c r="BA526" i="3"/>
  <c r="AZ526" i="3" s="1"/>
  <c r="BA524" i="3"/>
  <c r="AZ524" i="3"/>
  <c r="BA522" i="3"/>
  <c r="BA520" i="3"/>
  <c r="BA518" i="3"/>
  <c r="AZ518" i="3"/>
  <c r="BA516" i="3"/>
  <c r="AZ516" i="3" s="1"/>
  <c r="BA514" i="3"/>
  <c r="BA512" i="3"/>
  <c r="AZ512" i="3" s="1"/>
  <c r="BA510" i="3"/>
  <c r="AZ510" i="3"/>
  <c r="BA508" i="3"/>
  <c r="AZ508" i="3" s="1"/>
  <c r="BA506" i="3"/>
  <c r="BA504" i="3"/>
  <c r="AZ504" i="3"/>
  <c r="BA502" i="3"/>
  <c r="BA500" i="3"/>
  <c r="BA498" i="3"/>
  <c r="BA496" i="3"/>
  <c r="BA494" i="3"/>
  <c r="BA587" i="3"/>
  <c r="AZ587" i="3"/>
  <c r="BA583" i="3"/>
  <c r="AZ583" i="3" s="1"/>
  <c r="BA581" i="3"/>
  <c r="AZ581" i="3" s="1"/>
  <c r="BA579" i="3"/>
  <c r="BA577" i="3"/>
  <c r="AZ577" i="3" s="1"/>
  <c r="BA575" i="3"/>
  <c r="BA573" i="3"/>
  <c r="BA571" i="3"/>
  <c r="BA569" i="3"/>
  <c r="AZ569" i="3" s="1"/>
  <c r="BA567" i="3"/>
  <c r="BA565" i="3"/>
  <c r="BA563" i="3"/>
  <c r="BA561" i="3"/>
  <c r="BA559" i="3"/>
  <c r="BA555" i="3"/>
  <c r="BA553" i="3"/>
  <c r="BA549" i="3"/>
  <c r="BA547" i="3"/>
  <c r="BA545" i="3"/>
  <c r="BA543" i="3"/>
  <c r="BA541" i="3"/>
  <c r="AZ541" i="3" s="1"/>
  <c r="BA539" i="3"/>
  <c r="BA537" i="3"/>
  <c r="BA535" i="3"/>
  <c r="BA533" i="3"/>
  <c r="AZ533" i="3" s="1"/>
  <c r="BA531" i="3"/>
  <c r="BA529" i="3"/>
  <c r="BA527" i="3"/>
  <c r="BA525" i="3"/>
  <c r="BA523" i="3"/>
  <c r="BA519" i="3"/>
  <c r="BA517" i="3"/>
  <c r="BA515" i="3"/>
  <c r="AZ515" i="3" s="1"/>
  <c r="BA513" i="3"/>
  <c r="BA511" i="3"/>
  <c r="BA507" i="3"/>
  <c r="AZ507" i="3" s="1"/>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s="1"/>
  <c r="BQ583" i="3"/>
  <c r="BL583" i="3"/>
  <c r="BQ581" i="3"/>
  <c r="BL581" i="3"/>
  <c r="BQ579" i="3"/>
  <c r="BL579" i="3" s="1"/>
  <c r="BQ577" i="3"/>
  <c r="BL577" i="3"/>
  <c r="BQ575" i="3"/>
  <c r="BL575" i="3"/>
  <c r="AZ575" i="3"/>
  <c r="BQ573" i="3"/>
  <c r="BL573" i="3" s="1"/>
  <c r="AZ573" i="3" s="1"/>
  <c r="BQ571" i="3"/>
  <c r="BL571" i="3" s="1"/>
  <c r="BQ569" i="3"/>
  <c r="BL569" i="3"/>
  <c r="BQ567" i="3"/>
  <c r="BL567" i="3"/>
  <c r="AZ567" i="3"/>
  <c r="BQ565" i="3"/>
  <c r="BL565" i="3" s="1"/>
  <c r="AZ565" i="3" s="1"/>
  <c r="BQ563" i="3"/>
  <c r="BL563" i="3" s="1"/>
  <c r="BQ561" i="3"/>
  <c r="BL561" i="3"/>
  <c r="AZ561" i="3"/>
  <c r="BQ559" i="3"/>
  <c r="BL559" i="3" s="1"/>
  <c r="AZ559" i="3" s="1"/>
  <c r="G559" i="3"/>
  <c r="G555" i="3"/>
  <c r="G553" i="3"/>
  <c r="G549" i="3"/>
  <c r="G547" i="3"/>
  <c r="G545" i="3"/>
  <c r="G543" i="3"/>
  <c r="G541" i="3"/>
  <c r="G539" i="3"/>
  <c r="G537" i="3"/>
  <c r="BQ555" i="3"/>
  <c r="BL555" i="3"/>
  <c r="AZ555" i="3"/>
  <c r="BQ553" i="3"/>
  <c r="BL553" i="3" s="1"/>
  <c r="AZ553" i="3" s="1"/>
  <c r="BQ551" i="3"/>
  <c r="BL551" i="3" s="1"/>
  <c r="BQ549" i="3"/>
  <c r="BQ547" i="3"/>
  <c r="BL547" i="3"/>
  <c r="AZ547" i="3" s="1"/>
  <c r="BQ545" i="3"/>
  <c r="BL545" i="3"/>
  <c r="AZ545" i="3"/>
  <c r="BQ543" i="3"/>
  <c r="BL543" i="3" s="1"/>
  <c r="AZ543" i="3" s="1"/>
  <c r="BQ541" i="3"/>
  <c r="BL541" i="3" s="1"/>
  <c r="BQ539" i="3"/>
  <c r="BL539" i="3"/>
  <c r="AZ539" i="3" s="1"/>
  <c r="BQ537" i="3"/>
  <c r="BL537" i="3"/>
  <c r="AZ537" i="3"/>
  <c r="BQ535" i="3"/>
  <c r="BL535" i="3" s="1"/>
  <c r="AZ535" i="3" s="1"/>
  <c r="BQ533" i="3"/>
  <c r="BL533" i="3" s="1"/>
  <c r="BQ531" i="3"/>
  <c r="BL531" i="3"/>
  <c r="AZ531" i="3" s="1"/>
  <c r="BQ529" i="3"/>
  <c r="BL529" i="3"/>
  <c r="AZ529" i="3"/>
  <c r="BQ527" i="3"/>
  <c r="BL527" i="3" s="1"/>
  <c r="AZ527" i="3" s="1"/>
  <c r="BQ525" i="3"/>
  <c r="BL525" i="3" s="1"/>
  <c r="BQ523" i="3"/>
  <c r="BL523" i="3"/>
  <c r="AZ523" i="3" s="1"/>
  <c r="BA521" i="3"/>
  <c r="AC521" i="3"/>
  <c r="G521" i="3" s="1"/>
  <c r="BQ521" i="3"/>
  <c r="BL521" i="3"/>
  <c r="AZ521" i="3" s="1"/>
  <c r="BL520" i="3"/>
  <c r="AZ520" i="3" s="1"/>
  <c r="G519" i="3"/>
  <c r="G517" i="3"/>
  <c r="G515" i="3"/>
  <c r="G513" i="3"/>
  <c r="G511" i="3"/>
  <c r="BQ519" i="3"/>
  <c r="BL519" i="3"/>
  <c r="AZ519" i="3" s="1"/>
  <c r="BQ517" i="3"/>
  <c r="BL517" i="3"/>
  <c r="AZ517" i="3"/>
  <c r="BQ515" i="3"/>
  <c r="BL515" i="3" s="1"/>
  <c r="BQ513" i="3"/>
  <c r="BL513" i="3" s="1"/>
  <c r="BQ511" i="3"/>
  <c r="BL511" i="3"/>
  <c r="AZ511" i="3" s="1"/>
  <c r="BA509" i="3"/>
  <c r="AC509" i="3"/>
  <c r="BQ509" i="3"/>
  <c r="BL509" i="3" s="1"/>
  <c r="BL508" i="3"/>
  <c r="G507" i="3"/>
  <c r="G505" i="3"/>
  <c r="G503" i="3"/>
  <c r="G501" i="3"/>
  <c r="G499" i="3"/>
  <c r="G497" i="3"/>
  <c r="G495" i="3"/>
  <c r="BQ507" i="3"/>
  <c r="BL507" i="3"/>
  <c r="BQ505" i="3"/>
  <c r="BL505" i="3"/>
  <c r="AZ505" i="3"/>
  <c r="BQ503" i="3"/>
  <c r="BL503" i="3" s="1"/>
  <c r="AZ503" i="3" s="1"/>
  <c r="BQ501" i="3"/>
  <c r="BL501" i="3" s="1"/>
  <c r="BQ499" i="3"/>
  <c r="BL499" i="3"/>
  <c r="BQ497" i="3"/>
  <c r="BL497" i="3" s="1"/>
  <c r="BQ495" i="3"/>
  <c r="BL495" i="3"/>
  <c r="AZ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s="1"/>
  <c r="J25" i="21"/>
  <c r="AC25" i="21"/>
  <c r="E125" i="33"/>
  <c r="F125" i="33" s="1"/>
  <c r="H43" i="33"/>
  <c r="AB43" i="33" s="1"/>
  <c r="H17" i="37"/>
  <c r="U17" i="37" s="1"/>
  <c r="AB27" i="37"/>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s="1"/>
  <c r="S28" i="31"/>
  <c r="S27" i="31"/>
  <c r="S26" i="31"/>
  <c r="U14" i="40"/>
  <c r="U35" i="35"/>
  <c r="AA12" i="35"/>
  <c r="W23" i="35"/>
  <c r="W14" i="37"/>
  <c r="AB28" i="37"/>
  <c r="U33" i="37"/>
  <c r="U39" i="37"/>
  <c r="W47" i="34"/>
  <c r="AB13" i="34"/>
  <c r="AC36" i="34"/>
  <c r="AA13" i="33"/>
  <c r="AC31" i="33"/>
  <c r="AC45" i="33"/>
  <c r="W44" i="33"/>
  <c r="U11" i="33"/>
  <c r="U19" i="21"/>
  <c r="W44" i="21"/>
  <c r="U26" i="21"/>
  <c r="AC46" i="21"/>
  <c r="U12" i="21"/>
  <c r="AB38" i="21"/>
  <c r="F43" i="33"/>
  <c r="S43" i="33" s="1"/>
  <c r="W15" i="34"/>
  <c r="AC15" i="34"/>
  <c r="W16" i="35"/>
  <c r="W40" i="37"/>
  <c r="G107" i="37"/>
  <c r="H107" i="37"/>
  <c r="I107" i="37"/>
  <c r="J107" i="37" s="1"/>
  <c r="K107" i="37" s="1"/>
  <c r="L107" i="37" s="1"/>
  <c r="M107" i="37" s="1"/>
  <c r="H37" i="21"/>
  <c r="U37" i="21" s="1"/>
  <c r="S42" i="21"/>
  <c r="H19" i="34"/>
  <c r="AB19" i="34"/>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s="1"/>
  <c r="J15" i="37"/>
  <c r="W15" i="37"/>
  <c r="AT6" i="3"/>
  <c r="AA25" i="21"/>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s="1"/>
  <c r="F11" i="39"/>
  <c r="AA11" i="39"/>
  <c r="S11" i="39"/>
  <c r="G4" i="4"/>
  <c r="I4" i="4"/>
  <c r="A2" i="9"/>
  <c r="F61" i="43"/>
  <c r="H64" i="43" s="1"/>
  <c r="AZ20" i="3"/>
  <c r="AZ28" i="3"/>
  <c r="AZ32"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s="1"/>
  <c r="BA360" i="3"/>
  <c r="BL360" i="3"/>
  <c r="AZ360" i="3" s="1"/>
  <c r="G361" i="3"/>
  <c r="BA362" i="3"/>
  <c r="G370" i="3"/>
  <c r="BL371" i="3"/>
  <c r="G372" i="3"/>
  <c r="BL373" i="3"/>
  <c r="BA375" i="3"/>
  <c r="AZ375" i="3"/>
  <c r="BA376" i="3"/>
  <c r="BL376" i="3"/>
  <c r="G377" i="3"/>
  <c r="BA378" i="3"/>
  <c r="AZ378" i="3" s="1"/>
  <c r="BL378" i="3"/>
  <c r="G379" i="3"/>
  <c r="BA380" i="3"/>
  <c r="AZ380" i="3" s="1"/>
  <c r="G388" i="3"/>
  <c r="BL389" i="3"/>
  <c r="G390" i="3"/>
  <c r="BL391" i="3"/>
  <c r="BA393" i="3"/>
  <c r="AZ393" i="3" s="1"/>
  <c r="BA394" i="3"/>
  <c r="BL394" i="3"/>
  <c r="AZ394" i="3" s="1"/>
  <c r="G113" i="3"/>
  <c r="BA115" i="3"/>
  <c r="AZ115" i="3"/>
  <c r="BL116" i="3"/>
  <c r="AZ116" i="3"/>
  <c r="G117" i="3"/>
  <c r="BA119" i="3"/>
  <c r="AZ119" i="3"/>
  <c r="BL120" i="3"/>
  <c r="AZ120" i="3" s="1"/>
  <c r="G121" i="3"/>
  <c r="BA123" i="3"/>
  <c r="AZ123" i="3"/>
  <c r="BL124" i="3"/>
  <c r="AZ124" i="3" s="1"/>
  <c r="G125" i="3"/>
  <c r="BA127" i="3"/>
  <c r="AZ127" i="3"/>
  <c r="BL128" i="3"/>
  <c r="G129" i="3"/>
  <c r="BA131" i="3"/>
  <c r="AZ131" i="3"/>
  <c r="BL132" i="3"/>
  <c r="AZ132" i="3"/>
  <c r="G133" i="3"/>
  <c r="BA135" i="3"/>
  <c r="AZ135" i="3" s="1"/>
  <c r="BL136" i="3"/>
  <c r="AZ136" i="3" s="1"/>
  <c r="G137" i="3"/>
  <c r="BA139" i="3"/>
  <c r="AZ139" i="3" s="1"/>
  <c r="BL140" i="3"/>
  <c r="AZ140" i="3"/>
  <c r="G141" i="3"/>
  <c r="BA143" i="3"/>
  <c r="AZ143" i="3"/>
  <c r="BL144" i="3"/>
  <c r="AZ144" i="3" s="1"/>
  <c r="G145" i="3"/>
  <c r="BA147" i="3"/>
  <c r="AZ147" i="3"/>
  <c r="BL148" i="3"/>
  <c r="AZ148" i="3" s="1"/>
  <c r="G149" i="3"/>
  <c r="BA151" i="3"/>
  <c r="AZ151" i="3"/>
  <c r="BL152" i="3"/>
  <c r="G153" i="3"/>
  <c r="BA155" i="3"/>
  <c r="AZ155" i="3"/>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AZ176" i="3" s="1"/>
  <c r="G177" i="3"/>
  <c r="BA179" i="3"/>
  <c r="AZ179" i="3"/>
  <c r="BL180" i="3"/>
  <c r="AZ180" i="3" s="1"/>
  <c r="G181" i="3"/>
  <c r="BA183" i="3"/>
  <c r="AZ183" i="3" s="1"/>
  <c r="BL184" i="3"/>
  <c r="G185" i="3"/>
  <c r="BA187" i="3"/>
  <c r="AZ187" i="3" s="1"/>
  <c r="BL188" i="3"/>
  <c r="AZ188" i="3" s="1"/>
  <c r="G189" i="3"/>
  <c r="BA191" i="3"/>
  <c r="AZ191" i="3" s="1"/>
  <c r="BL192" i="3"/>
  <c r="G193" i="3"/>
  <c r="BA195" i="3"/>
  <c r="AZ195" i="3" s="1"/>
  <c r="BL196" i="3"/>
  <c r="AZ196" i="3"/>
  <c r="G197" i="3"/>
  <c r="BA199" i="3"/>
  <c r="AZ199" i="3" s="1"/>
  <c r="BL200" i="3"/>
  <c r="G201" i="3"/>
  <c r="BA203" i="3"/>
  <c r="AZ203" i="3" s="1"/>
  <c r="BL204" i="3"/>
  <c r="AZ39" i="3"/>
  <c r="AZ43" i="3"/>
  <c r="AZ47" i="3"/>
  <c r="AZ51" i="3"/>
  <c r="AZ55" i="3"/>
  <c r="AZ59" i="3"/>
  <c r="AZ63" i="3"/>
  <c r="AZ67" i="3"/>
  <c r="AZ79" i="3"/>
  <c r="AZ152" i="3"/>
  <c r="AZ160" i="3"/>
  <c r="AZ168" i="3"/>
  <c r="AZ184" i="3"/>
  <c r="AZ192" i="3"/>
  <c r="AZ200" i="3"/>
  <c r="AZ97" i="3"/>
  <c r="AZ101" i="3"/>
  <c r="AZ105" i="3"/>
  <c r="AZ109" i="3"/>
  <c r="AZ128" i="3"/>
  <c r="G534" i="3"/>
  <c r="G530" i="3"/>
  <c r="G522" i="3"/>
  <c r="G516" i="3"/>
  <c r="G512" i="3"/>
  <c r="G506" i="3"/>
  <c r="G498" i="3"/>
  <c r="G494" i="3"/>
  <c r="G16" i="3"/>
  <c r="G15" i="3"/>
  <c r="BA304" i="3"/>
  <c r="AZ304" i="3"/>
  <c r="BA305" i="3"/>
  <c r="AZ305" i="3" s="1"/>
  <c r="BL305" i="3"/>
  <c r="G306" i="3"/>
  <c r="G309" i="3"/>
  <c r="BL310" i="3"/>
  <c r="BA312" i="3"/>
  <c r="AZ312" i="3"/>
  <c r="BA313" i="3"/>
  <c r="BL313" i="3"/>
  <c r="AZ313" i="3"/>
  <c r="G314" i="3"/>
  <c r="G317" i="3"/>
  <c r="BL318" i="3"/>
  <c r="BA320" i="3"/>
  <c r="AZ320" i="3"/>
  <c r="BA321" i="3"/>
  <c r="AZ321" i="3" s="1"/>
  <c r="BL321" i="3"/>
  <c r="G322" i="3"/>
  <c r="G325" i="3"/>
  <c r="BL326" i="3"/>
  <c r="BA328" i="3"/>
  <c r="AZ328" i="3"/>
  <c r="BA329" i="3"/>
  <c r="BL329" i="3"/>
  <c r="AZ329" i="3"/>
  <c r="G330" i="3"/>
  <c r="G333" i="3"/>
  <c r="BL334" i="3"/>
  <c r="BA336" i="3"/>
  <c r="AZ336" i="3"/>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s="1"/>
  <c r="BA372" i="3"/>
  <c r="AZ372" i="3"/>
  <c r="BL372" i="3"/>
  <c r="G373" i="3"/>
  <c r="G376" i="3"/>
  <c r="BL377" i="3"/>
  <c r="BL379" i="3"/>
  <c r="BA381" i="3"/>
  <c r="AZ381" i="3"/>
  <c r="BA382" i="3"/>
  <c r="AZ382" i="3" s="1"/>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500" i="3"/>
  <c r="BA16" i="3"/>
  <c r="AZ16" i="3"/>
  <c r="BL303" i="3"/>
  <c r="AZ303" i="3" s="1"/>
  <c r="G304" i="3"/>
  <c r="BA306" i="3"/>
  <c r="AZ306" i="3"/>
  <c r="BL307" i="3"/>
  <c r="AZ307" i="3" s="1"/>
  <c r="G308" i="3"/>
  <c r="BA310" i="3"/>
  <c r="AZ310" i="3"/>
  <c r="BL311" i="3"/>
  <c r="AZ311" i="3" s="1"/>
  <c r="G312" i="3"/>
  <c r="BA314" i="3"/>
  <c r="AZ314" i="3" s="1"/>
  <c r="BL315" i="3"/>
  <c r="AZ315" i="3"/>
  <c r="G316" i="3"/>
  <c r="BA318" i="3"/>
  <c r="AZ318" i="3" s="1"/>
  <c r="BL319" i="3"/>
  <c r="AZ319" i="3" s="1"/>
  <c r="G320" i="3"/>
  <c r="BA322" i="3"/>
  <c r="AZ322" i="3" s="1"/>
  <c r="BL323" i="3"/>
  <c r="AZ323" i="3"/>
  <c r="G324" i="3"/>
  <c r="BA326" i="3"/>
  <c r="AZ326" i="3"/>
  <c r="BL327" i="3"/>
  <c r="AZ327" i="3" s="1"/>
  <c r="G328" i="3"/>
  <c r="BA330" i="3"/>
  <c r="AZ330" i="3"/>
  <c r="BL331" i="3"/>
  <c r="AZ331" i="3" s="1"/>
  <c r="G332" i="3"/>
  <c r="BA334" i="3"/>
  <c r="AZ334" i="3" s="1"/>
  <c r="BL335" i="3"/>
  <c r="G336" i="3"/>
  <c r="BA338" i="3"/>
  <c r="AZ338" i="3" s="1"/>
  <c r="BL339" i="3"/>
  <c r="AZ339" i="3"/>
  <c r="G340" i="3"/>
  <c r="BL343" i="3"/>
  <c r="G344" i="3"/>
  <c r="G348" i="3"/>
  <c r="G355" i="3"/>
  <c r="AZ209" i="3"/>
  <c r="AZ214" i="3"/>
  <c r="AZ218" i="3"/>
  <c r="AZ222" i="3"/>
  <c r="AZ335" i="3"/>
  <c r="G342" i="3"/>
  <c r="BL345" i="3"/>
  <c r="AZ345" i="3" s="1"/>
  <c r="G346" i="3"/>
  <c r="AZ348" i="3"/>
  <c r="BL349" i="3"/>
  <c r="AZ349" i="3" s="1"/>
  <c r="BL352" i="3"/>
  <c r="G353" i="3"/>
  <c r="BA357" i="3"/>
  <c r="AZ357" i="3" s="1"/>
  <c r="BL358" i="3"/>
  <c r="AZ358" i="3"/>
  <c r="G359" i="3"/>
  <c r="BA361" i="3"/>
  <c r="AZ361" i="3"/>
  <c r="BL362" i="3"/>
  <c r="G363" i="3"/>
  <c r="BA365" i="3"/>
  <c r="AZ365" i="3"/>
  <c r="BL366" i="3"/>
  <c r="AZ366" i="3" s="1"/>
  <c r="G367" i="3"/>
  <c r="BA369" i="3"/>
  <c r="AZ369" i="3"/>
  <c r="BL370" i="3"/>
  <c r="AZ370" i="3" s="1"/>
  <c r="G371" i="3"/>
  <c r="BA373" i="3"/>
  <c r="AZ373" i="3"/>
  <c r="BL374" i="3"/>
  <c r="AZ374" i="3" s="1"/>
  <c r="G375" i="3"/>
  <c r="BA377" i="3"/>
  <c r="AZ377" i="3" s="1"/>
  <c r="AZ229" i="3"/>
  <c r="AZ233" i="3"/>
  <c r="AZ237" i="3"/>
  <c r="AZ245" i="3"/>
  <c r="AZ253" i="3"/>
  <c r="AZ257" i="3"/>
  <c r="AZ261" i="3"/>
  <c r="AZ265" i="3"/>
  <c r="AZ269" i="3"/>
  <c r="AZ273"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17" i="3"/>
  <c r="AZ325" i="3"/>
  <c r="AZ333" i="3"/>
  <c r="AZ341" i="3"/>
  <c r="BQ5" i="3"/>
  <c r="AC5" i="3"/>
  <c r="AZ549" i="3"/>
  <c r="AZ506" i="3"/>
  <c r="AZ496" i="3"/>
  <c r="G548" i="3"/>
  <c r="G538" i="3"/>
  <c r="G520" i="3"/>
  <c r="G502" i="3"/>
  <c r="BS5" i="3"/>
  <c r="F28" i="6" s="1"/>
  <c r="BP5" i="3"/>
  <c r="BN5" i="3"/>
  <c r="BK5" i="3"/>
  <c r="BI5" i="3"/>
  <c r="BG5" i="3"/>
  <c r="BE5" i="3"/>
  <c r="BC5" i="3"/>
  <c r="G17" i="3"/>
  <c r="BA17" i="3"/>
  <c r="BT5" i="3"/>
  <c r="AZ350" i="3"/>
  <c r="AZ352" i="3"/>
  <c r="AZ356" i="3"/>
  <c r="AZ364" i="3"/>
  <c r="AZ368" i="3"/>
  <c r="BA15" i="3"/>
  <c r="AZ15" i="3"/>
  <c r="BB5" i="3"/>
  <c r="BR5" i="3"/>
  <c r="AZ384" i="3"/>
  <c r="AZ388" i="3"/>
  <c r="AZ392" i="3"/>
  <c r="AZ396" i="3"/>
  <c r="AZ499" i="3"/>
  <c r="AZ509" i="3"/>
  <c r="G509" i="3"/>
  <c r="BL493" i="3"/>
  <c r="AZ491" i="3"/>
  <c r="AZ376"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c r="W12" i="36"/>
  <c r="AC12" i="36"/>
  <c r="H20" i="36"/>
  <c r="U20" i="36"/>
  <c r="J20" i="36"/>
  <c r="W20" i="36" s="1"/>
  <c r="W24" i="36"/>
  <c r="J27" i="36"/>
  <c r="W27" i="36" s="1"/>
  <c r="AC33" i="40"/>
  <c r="F111" i="40"/>
  <c r="G111" i="40"/>
  <c r="H111" i="40"/>
  <c r="I111" i="40" s="1"/>
  <c r="J111" i="40" s="1"/>
  <c r="K111" i="40" s="1"/>
  <c r="L111" i="40" s="1"/>
  <c r="M111" i="40" s="1"/>
  <c r="H35" i="40"/>
  <c r="AB35" i="40"/>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S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c r="F40" i="34"/>
  <c r="S40" i="34" s="1"/>
  <c r="F43" i="34"/>
  <c r="AA43" i="34"/>
  <c r="H44" i="34"/>
  <c r="AB44" i="34" s="1"/>
  <c r="AC38" i="39"/>
  <c r="F39" i="39"/>
  <c r="S39" i="39" s="1"/>
  <c r="J39" i="39"/>
  <c r="AC39" i="39" s="1"/>
  <c r="E96" i="39"/>
  <c r="F96" i="39" s="1"/>
  <c r="G96" i="39" s="1"/>
  <c r="AZ353" i="3"/>
  <c r="AZ354" i="3"/>
  <c r="AZ386" i="3"/>
  <c r="C40" i="11"/>
  <c r="AZ215" i="3"/>
  <c r="AZ223" i="3"/>
  <c r="AZ227" i="3"/>
  <c r="AZ232" i="3"/>
  <c r="AZ235" i="3"/>
  <c r="AZ240" i="3"/>
  <c r="AZ243" i="3"/>
  <c r="AZ248" i="3"/>
  <c r="AZ256" i="3"/>
  <c r="AZ259" i="3"/>
  <c r="AZ268" i="3"/>
  <c r="AZ271" i="3"/>
  <c r="AZ280" i="3"/>
  <c r="AZ288" i="3"/>
  <c r="AZ296" i="3"/>
  <c r="AZ114" i="3"/>
  <c r="AZ117" i="3"/>
  <c r="AZ130" i="3"/>
  <c r="AZ133" i="3"/>
  <c r="AZ31" i="3"/>
  <c r="AZ33" i="3"/>
  <c r="AZ37" i="3"/>
  <c r="AZ42" i="3"/>
  <c r="AZ45" i="3"/>
  <c r="AZ50" i="3"/>
  <c r="AZ53" i="3"/>
  <c r="AZ58" i="3"/>
  <c r="AZ61" i="3"/>
  <c r="AZ66" i="3"/>
  <c r="AZ69" i="3"/>
  <c r="AZ72" i="3"/>
  <c r="AZ74" i="3"/>
  <c r="AZ77" i="3"/>
  <c r="AZ82" i="3"/>
  <c r="AZ86" i="3"/>
  <c r="AZ94" i="3"/>
  <c r="AZ102"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K6" i="1"/>
  <c r="AP6" i="1" s="1"/>
  <c r="G29" i="6"/>
  <c r="AC26" i="33"/>
  <c r="W26" i="33"/>
  <c r="W27" i="34"/>
  <c r="AC27" i="34"/>
  <c r="AB34" i="36"/>
  <c r="U34" i="36"/>
  <c r="AB33" i="36"/>
  <c r="U33" i="36"/>
  <c r="AC12" i="39"/>
  <c r="W12" i="39"/>
  <c r="AZ401" i="3"/>
  <c r="AZ412" i="3"/>
  <c r="AZ417" i="3"/>
  <c r="AZ428" i="3"/>
  <c r="AZ433" i="3"/>
  <c r="AZ465" i="3"/>
  <c r="AZ586" i="3"/>
  <c r="W12" i="33"/>
  <c r="AC12" i="33"/>
  <c r="AA32" i="36"/>
  <c r="S32" i="36"/>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AZ84" i="3"/>
  <c r="AZ88" i="3"/>
  <c r="K12" i="1"/>
  <c r="M12" i="1" s="1"/>
  <c r="S13" i="1"/>
  <c r="AR13" i="1" s="1"/>
  <c r="R13" i="1"/>
  <c r="J51" i="67"/>
  <c r="C42" i="1"/>
  <c r="AB37" i="40"/>
  <c r="S35" i="40"/>
  <c r="U35" i="40"/>
  <c r="AC36"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S27" i="33"/>
  <c r="AA29" i="33"/>
  <c r="W38" i="33"/>
  <c r="H41" i="33"/>
  <c r="F121" i="33"/>
  <c r="G121" i="33" s="1"/>
  <c r="H121" i="33" s="1"/>
  <c r="I121" i="33" s="1"/>
  <c r="J121" i="33" s="1"/>
  <c r="K121" i="33" s="1"/>
  <c r="L121" i="33" s="1"/>
  <c r="M121" i="33" s="1"/>
  <c r="F36" i="33"/>
  <c r="AA36" i="33" s="1"/>
  <c r="G111" i="33"/>
  <c r="G108" i="33"/>
  <c r="H108" i="33" s="1"/>
  <c r="I108" i="33" s="1"/>
  <c r="J108" i="33" s="1"/>
  <c r="K108" i="33" s="1"/>
  <c r="L108" i="33" s="1"/>
  <c r="M108" i="33" s="1"/>
  <c r="J35" i="33"/>
  <c r="AC35" i="33" s="1"/>
  <c r="S37" i="33"/>
  <c r="AA37" i="33"/>
  <c r="S39" i="33"/>
  <c r="F101" i="33"/>
  <c r="G101" i="33"/>
  <c r="H101" i="33" s="1"/>
  <c r="I101" i="33" s="1"/>
  <c r="J101" i="33" s="1"/>
  <c r="K101" i="33" s="1"/>
  <c r="L101" i="33" s="1"/>
  <c r="M101" i="33" s="1"/>
  <c r="J32" i="33"/>
  <c r="W32" i="33" s="1"/>
  <c r="S46"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9" i="33"/>
  <c r="U38" i="33"/>
  <c r="S33" i="33"/>
  <c r="U44" i="33"/>
  <c r="AB44" i="33"/>
  <c r="S30" i="33"/>
  <c r="AA30" i="33"/>
  <c r="AC14" i="33"/>
  <c r="W14" i="33"/>
  <c r="AC30" i="33"/>
  <c r="W30" i="33"/>
  <c r="S31" i="33"/>
  <c r="AA31" i="33"/>
  <c r="W13" i="33"/>
  <c r="AC13" i="33"/>
  <c r="U15" i="33"/>
  <c r="S11" i="33"/>
  <c r="U37"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s="1"/>
  <c r="AC19" i="21"/>
  <c r="W39" i="21"/>
  <c r="AC14" i="21"/>
  <c r="W30" i="21"/>
  <c r="S46" i="21"/>
  <c r="H45" i="21"/>
  <c r="U45" i="21"/>
  <c r="F29" i="21"/>
  <c r="S29" i="21" s="1"/>
  <c r="F13" i="21"/>
  <c r="AA13" i="21"/>
  <c r="AC38" i="21"/>
  <c r="H32" i="21"/>
  <c r="H9" i="21"/>
  <c r="J9" i="21"/>
  <c r="W9" i="21" s="1"/>
  <c r="J32" i="21"/>
  <c r="W32" i="21" s="1"/>
  <c r="F32" i="2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H111" i="33"/>
  <c r="I111" i="33"/>
  <c r="J111" i="33"/>
  <c r="K111" i="33" s="1"/>
  <c r="L111" i="33" s="1"/>
  <c r="M111" i="33" s="1"/>
  <c r="J36" i="33"/>
  <c r="W36" i="33" s="1"/>
  <c r="H36" i="33"/>
  <c r="U36" i="33" s="1"/>
  <c r="S36"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AA23" i="33" s="1"/>
  <c r="G85" i="33"/>
  <c r="AC23" i="33"/>
  <c r="W23" i="33"/>
  <c r="AA19" i="33"/>
  <c r="H19" i="33"/>
  <c r="G81" i="33"/>
  <c r="G79" i="33"/>
  <c r="H17" i="33"/>
  <c r="F17" i="33"/>
  <c r="W17" i="33"/>
  <c r="AC17" i="33"/>
  <c r="S37" i="21"/>
  <c r="AA23" i="21"/>
  <c r="AB15" i="21"/>
  <c r="J23" i="21"/>
  <c r="W23" i="21" s="1"/>
  <c r="F85" i="21"/>
  <c r="G85" i="21" s="1"/>
  <c r="H23" i="21"/>
  <c r="U23" i="21" s="1"/>
  <c r="S13" i="21"/>
  <c r="D6" i="52"/>
  <c r="AP7" i="1"/>
  <c r="AB45" i="21"/>
  <c r="AB9" i="21"/>
  <c r="U9" i="21"/>
  <c r="AA32" i="21"/>
  <c r="S32" i="21"/>
  <c r="AC9" i="21"/>
  <c r="AB32" i="21"/>
  <c r="U32" i="21"/>
  <c r="U32" i="39"/>
  <c r="AC32" i="39"/>
  <c r="W32" i="39"/>
  <c r="W19" i="37"/>
  <c r="AC19" i="37"/>
  <c r="W23" i="37"/>
  <c r="AC23" i="37"/>
  <c r="H63" i="37"/>
  <c r="I63" i="37"/>
  <c r="J63" i="37" s="1"/>
  <c r="K63" i="37" s="1"/>
  <c r="L63" i="37" s="1"/>
  <c r="M63" i="37" s="1"/>
  <c r="J11" i="37"/>
  <c r="AC11" i="37" s="1"/>
  <c r="H70" i="34"/>
  <c r="I70" i="34"/>
  <c r="J70" i="34"/>
  <c r="K70" i="34" s="1"/>
  <c r="L70" i="34" s="1"/>
  <c r="M70" i="34" s="1"/>
  <c r="J11" i="34"/>
  <c r="W11" i="34" s="1"/>
  <c r="AB36" i="33"/>
  <c r="W27" i="33"/>
  <c r="AC27" i="33"/>
  <c r="W25" i="33"/>
  <c r="AC25" i="33"/>
  <c r="AB19" i="33"/>
  <c r="U19" i="33"/>
  <c r="AA17" i="33"/>
  <c r="S17" i="33"/>
  <c r="U17" i="33"/>
  <c r="AB17" i="33"/>
  <c r="AB23" i="21"/>
  <c r="H109" i="9"/>
  <c r="M49" i="9" s="1"/>
  <c r="D16" i="53"/>
  <c r="B34" i="72" s="1"/>
  <c r="H112" i="9"/>
  <c r="D21" i="53" s="1"/>
  <c r="B39" i="72" s="1"/>
  <c r="H111" i="9"/>
  <c r="D126" i="9" s="1"/>
  <c r="D19" i="53"/>
  <c r="B38" i="72" s="1"/>
  <c r="AD3" i="71"/>
  <c r="J1" i="73"/>
  <c r="C24" i="12"/>
  <c r="D24" i="71"/>
  <c r="U24" i="71" s="1"/>
  <c r="S24" i="71"/>
  <c r="T24" i="71"/>
  <c r="AB22" i="71"/>
  <c r="X20" i="71"/>
  <c r="X19" i="71"/>
  <c r="AA20" i="71"/>
  <c r="AA19" i="71"/>
  <c r="X23" i="71"/>
  <c r="Y19" i="71"/>
  <c r="Z19" i="71" s="1"/>
  <c r="AB20" i="71"/>
  <c r="AB19" i="71"/>
  <c r="S20" i="71"/>
  <c r="F21" i="71"/>
  <c r="F20" i="71"/>
  <c r="F19" i="71" s="1"/>
  <c r="F18" i="71" s="1"/>
  <c r="F17" i="71" s="1"/>
  <c r="Y20" i="71"/>
  <c r="Z20" i="71" s="1"/>
  <c r="X3" i="71"/>
  <c r="F6" i="15"/>
  <c r="F40" i="15"/>
  <c r="L47" i="15"/>
  <c r="F26" i="15"/>
  <c r="F8" i="15"/>
  <c r="E12" i="76"/>
  <c r="M23" i="15"/>
  <c r="M6" i="15"/>
  <c r="F16" i="15"/>
  <c r="F42" i="67"/>
  <c r="F37" i="15"/>
  <c r="F7" i="15"/>
  <c r="D34" i="9"/>
  <c r="L48" i="15"/>
  <c r="B11" i="76"/>
  <c r="F6" i="73"/>
  <c r="M22" i="67"/>
  <c r="E9" i="76"/>
  <c r="M22" i="15"/>
  <c r="M8" i="15"/>
  <c r="F7" i="73"/>
  <c r="M9" i="15"/>
  <c r="F4" i="73"/>
  <c r="F42" i="15"/>
  <c r="D5" i="73"/>
  <c r="F13" i="67"/>
  <c r="M24" i="15"/>
  <c r="M28" i="15"/>
  <c r="AO13" i="1"/>
  <c r="F20" i="31"/>
  <c r="B8" i="76"/>
  <c r="B7" i="76"/>
  <c r="D35" i="9"/>
  <c r="F26" i="67"/>
  <c r="F16" i="67"/>
  <c r="J15" i="15"/>
  <c r="F3" i="73"/>
  <c r="F5" i="73"/>
  <c r="M26" i="15"/>
  <c r="D4" i="73"/>
  <c r="E13" i="76"/>
  <c r="M29" i="67"/>
  <c r="B10" i="76"/>
  <c r="F36" i="15"/>
  <c r="B12" i="76"/>
  <c r="F38" i="15"/>
  <c r="F9" i="67"/>
  <c r="F13" i="15"/>
  <c r="M8" i="67"/>
  <c r="C76" i="15"/>
  <c r="F43" i="67"/>
  <c r="F36" i="67"/>
  <c r="E8" i="76"/>
  <c r="E10" i="76"/>
  <c r="E2" i="68"/>
  <c r="E11" i="76"/>
  <c r="E2" i="69"/>
  <c r="D6" i="73"/>
  <c r="F6" i="67"/>
  <c r="M29" i="15"/>
  <c r="E7" i="76"/>
  <c r="F43" i="15"/>
  <c r="B13" i="76"/>
  <c r="B9" i="76"/>
  <c r="F9" i="15"/>
  <c r="C40" i="69" l="1"/>
  <c r="C21" i="68"/>
  <c r="W43" i="33"/>
  <c r="U43" i="33"/>
  <c r="AA43" i="33"/>
  <c r="U35" i="33"/>
  <c r="AA35" i="33"/>
  <c r="AA34" i="33"/>
  <c r="AC37" i="33"/>
  <c r="W35" i="33"/>
  <c r="AB34" i="33"/>
  <c r="AC34" i="33"/>
  <c r="AC32" i="33"/>
  <c r="U32" i="33"/>
  <c r="AB29" i="33"/>
  <c r="D55" i="43"/>
  <c r="D58" i="43"/>
  <c r="E50" i="43" s="1"/>
  <c r="B48" i="43" s="1"/>
  <c r="W42" i="33"/>
  <c r="S42" i="33"/>
  <c r="U42" i="33"/>
  <c r="S28" i="33"/>
  <c r="AC28" i="33"/>
  <c r="U33" i="33"/>
  <c r="W33" i="33"/>
  <c r="D93" i="9"/>
  <c r="B41" i="1"/>
  <c r="C40" i="68"/>
  <c r="G6" i="1"/>
  <c r="G16" i="1" s="1"/>
  <c r="F10" i="39" s="1"/>
  <c r="I24" i="43"/>
  <c r="C24" i="43" s="1"/>
  <c r="H5" i="3"/>
  <c r="H69" i="43"/>
  <c r="H50" i="43"/>
  <c r="AC23" i="21"/>
  <c r="AA30" i="40"/>
  <c r="AZ525" i="3"/>
  <c r="S23" i="33"/>
  <c r="AZ571" i="3"/>
  <c r="AZ579" i="3"/>
  <c r="W17" i="21"/>
  <c r="G28" i="6"/>
  <c r="AZ362" i="3"/>
  <c r="AZ557" i="3"/>
  <c r="AZ513" i="3"/>
  <c r="S11" i="36"/>
  <c r="U46" i="33"/>
  <c r="B76" i="43"/>
  <c r="S12" i="34"/>
  <c r="AA12" i="34"/>
  <c r="AA34" i="21"/>
  <c r="B73" i="43"/>
  <c r="J9" i="34"/>
  <c r="F9" i="34"/>
  <c r="AA9" i="34" s="1"/>
  <c r="BL585" i="3"/>
  <c r="AZ585" i="3" s="1"/>
  <c r="H26" i="37"/>
  <c r="J26" i="37"/>
  <c r="F26" i="37"/>
  <c r="H44" i="39"/>
  <c r="F44" i="39"/>
  <c r="F38" i="40"/>
  <c r="J38" i="40"/>
  <c r="H38" i="40"/>
  <c r="AZ421" i="3"/>
  <c r="AZ423" i="3"/>
  <c r="AZ425" i="3"/>
  <c r="AZ431" i="3"/>
  <c r="AZ438" i="3"/>
  <c r="AZ443" i="3"/>
  <c r="AZ444" i="3"/>
  <c r="AZ448" i="3"/>
  <c r="AZ463" i="3"/>
  <c r="AZ471" i="3"/>
  <c r="AZ480" i="3"/>
  <c r="AZ482" i="3"/>
  <c r="AZ485" i="3"/>
  <c r="AZ489" i="3"/>
  <c r="AZ332" i="3"/>
  <c r="AZ239" i="3"/>
  <c r="F26" i="33"/>
  <c r="S34" i="35"/>
  <c r="W28" i="36"/>
  <c r="B79" i="43"/>
  <c r="B75" i="43"/>
  <c r="H12" i="35"/>
  <c r="J36" i="35"/>
  <c r="H12" i="36"/>
  <c r="H24" i="36"/>
  <c r="H25" i="37"/>
  <c r="F25" i="37"/>
  <c r="J25" i="37"/>
  <c r="H39" i="40"/>
  <c r="J39" i="40"/>
  <c r="BA551" i="3"/>
  <c r="AZ551" i="3" s="1"/>
  <c r="AZ403" i="3"/>
  <c r="AZ404" i="3"/>
  <c r="AZ424" i="3"/>
  <c r="AZ460" i="3"/>
  <c r="AZ469" i="3"/>
  <c r="AZ470" i="3"/>
  <c r="AZ476" i="3"/>
  <c r="AZ478" i="3"/>
  <c r="AZ481" i="3"/>
  <c r="AZ219" i="3"/>
  <c r="AZ410" i="3"/>
  <c r="AZ458" i="3"/>
  <c r="AZ459" i="3"/>
  <c r="AZ467" i="3"/>
  <c r="AZ474" i="3"/>
  <c r="AZ477" i="3"/>
  <c r="AZ211" i="3"/>
  <c r="BA241" i="3"/>
  <c r="AZ241" i="3" s="1"/>
  <c r="BA242" i="3"/>
  <c r="AZ242" i="3" s="1"/>
  <c r="AZ244" i="3"/>
  <c r="BL247" i="3"/>
  <c r="BL249" i="3"/>
  <c r="AZ249" i="3" s="1"/>
  <c r="BL251" i="3"/>
  <c r="AZ251" i="3" s="1"/>
  <c r="AZ289" i="3"/>
  <c r="AZ290" i="3"/>
  <c r="AZ298" i="3"/>
  <c r="AZ126" i="3"/>
  <c r="A15" i="62"/>
  <c r="B61" i="72" s="1"/>
  <c r="BL241" i="3"/>
  <c r="G242" i="3"/>
  <c r="AZ258" i="3"/>
  <c r="AZ270" i="3"/>
  <c r="AZ274" i="3"/>
  <c r="AZ282" i="3"/>
  <c r="AZ118" i="3"/>
  <c r="AZ129" i="3"/>
  <c r="AZ169" i="3"/>
  <c r="AZ177" i="3"/>
  <c r="AZ185" i="3"/>
  <c r="AZ193" i="3"/>
  <c r="AZ247" i="3"/>
  <c r="BA204" i="3"/>
  <c r="AZ204" i="3" s="1"/>
  <c r="BA206" i="3"/>
  <c r="AZ18" i="3"/>
  <c r="G25" i="3"/>
  <c r="G5" i="3" s="1"/>
  <c r="B3" i="3" s="1"/>
  <c r="G28" i="3"/>
  <c r="G30" i="3"/>
  <c r="AZ48" i="3"/>
  <c r="AZ64" i="3"/>
  <c r="AZ100" i="3"/>
  <c r="BL206" i="3"/>
  <c r="G207" i="3"/>
  <c r="BA24" i="3"/>
  <c r="AZ24" i="3" s="1"/>
  <c r="BA27" i="3"/>
  <c r="AZ27" i="3" s="1"/>
  <c r="BA29" i="3"/>
  <c r="AZ29" i="3" s="1"/>
  <c r="AZ36" i="3"/>
  <c r="AZ44" i="3"/>
  <c r="AZ56" i="3"/>
  <c r="AZ90" i="3"/>
  <c r="BL19" i="3"/>
  <c r="AZ19" i="3" s="1"/>
  <c r="BL21" i="3"/>
  <c r="AZ21" i="3" s="1"/>
  <c r="AZ52" i="3"/>
  <c r="AZ54" i="3"/>
  <c r="AZ57" i="3"/>
  <c r="BA71" i="3"/>
  <c r="AZ71" i="3" s="1"/>
  <c r="BL75" i="3"/>
  <c r="AZ75" i="3" s="1"/>
  <c r="BL78" i="3"/>
  <c r="BA83" i="3"/>
  <c r="AZ83" i="3" s="1"/>
  <c r="G91" i="3"/>
  <c r="BL95" i="3"/>
  <c r="AZ95" i="3" s="1"/>
  <c r="BL98" i="3"/>
  <c r="G108" i="3"/>
  <c r="BA110" i="3"/>
  <c r="AZ110" i="3" s="1"/>
  <c r="BA112" i="3"/>
  <c r="O66" i="71"/>
  <c r="D66" i="71"/>
  <c r="O65" i="71"/>
  <c r="C56" i="71"/>
  <c r="D55" i="71"/>
  <c r="AZ78" i="3"/>
  <c r="AZ98" i="3"/>
  <c r="P66" i="71"/>
  <c r="P65" i="71"/>
  <c r="D46" i="71"/>
  <c r="C47" i="71"/>
  <c r="D47" i="71" s="1"/>
  <c r="G77" i="3"/>
  <c r="BA81" i="3"/>
  <c r="AZ81" i="3" s="1"/>
  <c r="BA85" i="3"/>
  <c r="AZ85" i="3" s="1"/>
  <c r="BL89" i="3"/>
  <c r="AZ89" i="3" s="1"/>
  <c r="G97" i="3"/>
  <c r="G100" i="3"/>
  <c r="BA107" i="3"/>
  <c r="AZ107" i="3" s="1"/>
  <c r="BL111" i="3"/>
  <c r="AZ111" i="3" s="1"/>
  <c r="AC18" i="35"/>
  <c r="AA21" i="34"/>
  <c r="S21" i="34"/>
  <c r="D38" i="71"/>
  <c r="C39" i="71"/>
  <c r="G72" i="3"/>
  <c r="BA76" i="3"/>
  <c r="AZ76" i="3" s="1"/>
  <c r="BL80" i="3"/>
  <c r="AZ80" i="3" s="1"/>
  <c r="G84" i="3"/>
  <c r="BL87" i="3"/>
  <c r="AZ87" i="3" s="1"/>
  <c r="BA93" i="3"/>
  <c r="AZ93" i="3" s="1"/>
  <c r="BA96" i="3"/>
  <c r="AZ96" i="3" s="1"/>
  <c r="BA99" i="3"/>
  <c r="AZ99" i="3" s="1"/>
  <c r="BL104" i="3"/>
  <c r="AZ104" i="3" s="1"/>
  <c r="BA108" i="3"/>
  <c r="AZ108" i="3" s="1"/>
  <c r="BL112" i="3"/>
  <c r="AA21" i="33"/>
  <c r="B88" i="43"/>
  <c r="C25" i="40"/>
  <c r="C51" i="71"/>
  <c r="D50" i="71"/>
  <c r="Q65" i="71"/>
  <c r="Q66" i="71"/>
  <c r="M56" i="9"/>
  <c r="N56" i="9"/>
  <c r="X26" i="71"/>
  <c r="E23" i="71"/>
  <c r="E22" i="71" s="1"/>
  <c r="E21" i="71" s="1"/>
  <c r="E20" i="71" s="1"/>
  <c r="V24" i="71"/>
  <c r="X22" i="71"/>
  <c r="AA21" i="71"/>
  <c r="AB21" i="71"/>
  <c r="Y13" i="71"/>
  <c r="Z13" i="71" s="1"/>
  <c r="Y14" i="71"/>
  <c r="Z14" i="71" s="1"/>
  <c r="Y12" i="71"/>
  <c r="Z12" i="71" s="1"/>
  <c r="X17" i="71"/>
  <c r="AA11" i="71"/>
  <c r="U18" i="35"/>
  <c r="C78" i="71"/>
  <c r="D78" i="71" s="1"/>
  <c r="D67" i="71"/>
  <c r="AB25" i="71"/>
  <c r="D54" i="71"/>
  <c r="X25" i="71"/>
  <c r="Y28" i="71"/>
  <c r="Z28" i="71" s="1"/>
  <c r="AA30" i="71"/>
  <c r="E31" i="71"/>
  <c r="E32" i="71" s="1"/>
  <c r="U32" i="71" s="1"/>
  <c r="X10" i="71"/>
  <c r="AA9" i="71"/>
  <c r="C43" i="71"/>
  <c r="B71" i="71"/>
  <c r="B70" i="71" s="1"/>
  <c r="AA24" i="71"/>
  <c r="AA22" i="71"/>
  <c r="C23" i="71"/>
  <c r="AB23" i="71"/>
  <c r="X21" i="71"/>
  <c r="AB10" i="71"/>
  <c r="AA18" i="71"/>
  <c r="X13" i="71"/>
  <c r="AA14" i="71"/>
  <c r="S21" i="21"/>
  <c r="S18" i="35"/>
  <c r="D60" i="71"/>
  <c r="C82" i="71"/>
  <c r="D82" i="71" s="1"/>
  <c r="O67" i="71"/>
  <c r="AA27" i="71"/>
  <c r="E28" i="71"/>
  <c r="C31" i="71"/>
  <c r="AB33" i="71"/>
  <c r="X30" i="71"/>
  <c r="Y27" i="71"/>
  <c r="Z27" i="71" s="1"/>
  <c r="Y30" i="71"/>
  <c r="Z30" i="71" s="1"/>
  <c r="AA31" i="71"/>
  <c r="Y36" i="71"/>
  <c r="Z36" i="71" s="1"/>
  <c r="AB9" i="71"/>
  <c r="S68" i="71"/>
  <c r="B67" i="71"/>
  <c r="V68" i="71"/>
  <c r="F79" i="71"/>
  <c r="F78" i="71" s="1"/>
  <c r="D88" i="71"/>
  <c r="C87" i="71"/>
  <c r="AB26" i="71"/>
  <c r="K56" i="9"/>
  <c r="Y24" i="71"/>
  <c r="Z24" i="71" s="1"/>
  <c r="X24" i="71"/>
  <c r="Y21" i="71"/>
  <c r="Z21" i="71" s="1"/>
  <c r="X18" i="71"/>
  <c r="AB18" i="71"/>
  <c r="Y11" i="71"/>
  <c r="Z11" i="71" s="1"/>
  <c r="AB28" i="71"/>
  <c r="X32" i="71"/>
  <c r="F30" i="71"/>
  <c r="F31" i="71" s="1"/>
  <c r="F32" i="71" s="1"/>
  <c r="V32" i="71" s="1"/>
  <c r="E34" i="71"/>
  <c r="E35" i="71" s="1"/>
  <c r="E36" i="71" s="1"/>
  <c r="U36" i="71" s="1"/>
  <c r="AA33" i="71"/>
  <c r="X33" i="71"/>
  <c r="X34" i="71"/>
  <c r="Y9" i="71"/>
  <c r="Z9" i="71" s="1"/>
  <c r="Y10" i="71"/>
  <c r="Z10" i="71" s="1"/>
  <c r="Y39" i="71"/>
  <c r="Z39" i="71" s="1"/>
  <c r="U72" i="71"/>
  <c r="E71" i="71"/>
  <c r="E70" i="71" s="1"/>
  <c r="U76" i="71"/>
  <c r="AB24" i="71"/>
  <c r="Y25" i="71"/>
  <c r="Z25" i="71" s="1"/>
  <c r="Y23" i="71"/>
  <c r="Z23" i="71" s="1"/>
  <c r="Y18" i="71"/>
  <c r="Z18" i="71" s="1"/>
  <c r="Y17" i="71"/>
  <c r="Z17" i="71" s="1"/>
  <c r="AB17" i="71"/>
  <c r="AB12" i="71"/>
  <c r="X9" i="71"/>
  <c r="AA23" i="71"/>
  <c r="AA15" i="71"/>
  <c r="AB11" i="71"/>
  <c r="AA13" i="71"/>
  <c r="X12" i="71"/>
  <c r="AB15" i="71"/>
  <c r="AB13" i="71"/>
  <c r="AB14" i="71"/>
  <c r="X11" i="71"/>
  <c r="Y22" i="71"/>
  <c r="Z22" i="71" s="1"/>
  <c r="X15" i="71"/>
  <c r="AA12" i="71"/>
  <c r="AA10" i="71"/>
  <c r="X14" i="7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J26" i="43" s="1"/>
  <c r="E29" i="6"/>
  <c r="K15" i="1" s="1"/>
  <c r="F30" i="6"/>
  <c r="G30" i="6"/>
  <c r="G31" i="6" s="1"/>
  <c r="E28" i="6"/>
  <c r="L19" i="6"/>
  <c r="L27" i="6" s="1"/>
  <c r="M6" i="1"/>
  <c r="O6" i="1" s="1"/>
  <c r="T13" i="1"/>
  <c r="C58" i="21"/>
  <c r="C58" i="33"/>
  <c r="C59" i="34"/>
  <c r="D59" i="34" s="1"/>
  <c r="E59" i="34" s="1"/>
  <c r="F59" i="34" s="1"/>
  <c r="G59" i="34" s="1"/>
  <c r="H59" i="34" s="1"/>
  <c r="I59" i="34" s="1"/>
  <c r="J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K14"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M7" i="15"/>
  <c r="J6" i="15" s="1"/>
  <c r="F50" i="15"/>
  <c r="F51" i="15"/>
  <c r="F71" i="15"/>
  <c r="C6" i="15"/>
  <c r="L59" i="15"/>
  <c r="N59" i="15"/>
  <c r="L58" i="15"/>
  <c r="M59" i="15"/>
  <c r="F66" i="15"/>
  <c r="F64" i="15"/>
  <c r="C27" i="67"/>
  <c r="F71" i="67"/>
  <c r="C27" i="15"/>
  <c r="F65" i="15"/>
  <c r="B13" i="70"/>
  <c r="F64" i="67"/>
  <c r="F68" i="15"/>
  <c r="C36" i="68"/>
  <c r="D9" i="69"/>
  <c r="C36" i="69"/>
  <c r="D9" i="68"/>
  <c r="M26" i="67"/>
  <c r="M9" i="67"/>
  <c r="C16" i="67"/>
  <c r="M6" i="67"/>
  <c r="F8" i="67"/>
  <c r="C76" i="67"/>
  <c r="C16" i="15"/>
  <c r="L48" i="67"/>
  <c r="M28" i="67"/>
  <c r="F40" i="67"/>
  <c r="F7" i="67"/>
  <c r="M23" i="67"/>
  <c r="F37" i="67"/>
  <c r="D7" i="73"/>
  <c r="M24" i="67"/>
  <c r="J15" i="67"/>
  <c r="F38" i="67"/>
  <c r="L47" i="67"/>
  <c r="D3" i="73"/>
  <c r="F48" i="9" l="1"/>
  <c r="O52" i="9" s="1"/>
  <c r="F30" i="11"/>
  <c r="M18" i="67"/>
  <c r="M18" i="15"/>
  <c r="F28" i="15"/>
  <c r="C28" i="15" s="1"/>
  <c r="F28" i="67"/>
  <c r="C28" i="67" s="1"/>
  <c r="F32" i="67"/>
  <c r="F60" i="67" s="1"/>
  <c r="F31" i="12"/>
  <c r="C31" i="12" s="1"/>
  <c r="F30" i="69"/>
  <c r="D68" i="9"/>
  <c r="F30" i="68"/>
  <c r="F52" i="9"/>
  <c r="F32" i="15"/>
  <c r="F60" i="15" s="1"/>
  <c r="F54" i="9"/>
  <c r="E26" i="43"/>
  <c r="G26" i="43"/>
  <c r="P6" i="1"/>
  <c r="C13" i="12" s="1"/>
  <c r="F26" i="43"/>
  <c r="N370" i="46"/>
  <c r="H26" i="43"/>
  <c r="K16" i="1"/>
  <c r="N94" i="46"/>
  <c r="E59" i="40"/>
  <c r="K1" i="73"/>
  <c r="F31" i="67"/>
  <c r="F50" i="67"/>
  <c r="M7" i="67"/>
  <c r="J6" i="67" s="1"/>
  <c r="J18" i="67" s="1"/>
  <c r="Q71" i="67"/>
  <c r="M59" i="67"/>
  <c r="N59" i="67"/>
  <c r="L59" i="67"/>
  <c r="Q61" i="67" s="1"/>
  <c r="L58" i="67"/>
  <c r="Q73" i="67" s="1"/>
  <c r="F65" i="67"/>
  <c r="I54" i="67"/>
  <c r="J53" i="67"/>
  <c r="F1" i="67" s="1"/>
  <c r="J57" i="67"/>
  <c r="J55" i="67" s="1"/>
  <c r="J58" i="67" s="1"/>
  <c r="Q50" i="67" s="1"/>
  <c r="L56" i="67"/>
  <c r="F68" i="67"/>
  <c r="C6" i="67"/>
  <c r="C32" i="67" s="1"/>
  <c r="F51" i="67"/>
  <c r="F66" i="67"/>
  <c r="E510"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98" i="3"/>
  <c r="E139" i="3"/>
  <c r="E225" i="3"/>
  <c r="E281" i="3"/>
  <c r="E243" i="3"/>
  <c r="E332" i="3"/>
  <c r="E356" i="3"/>
  <c r="AL6" i="3"/>
  <c r="E42" i="3"/>
  <c r="E75" i="3"/>
  <c r="E482" i="3"/>
  <c r="E18" i="3"/>
  <c r="E78" i="3"/>
  <c r="E190" i="3"/>
  <c r="E220" i="3"/>
  <c r="E235" i="3"/>
  <c r="E383" i="3"/>
  <c r="E35" i="3"/>
  <c r="E34" i="3"/>
  <c r="E206" i="3"/>
  <c r="E251" i="3"/>
  <c r="AF6" i="3"/>
  <c r="E80" i="3"/>
  <c r="E113" i="3"/>
  <c r="E287" i="3"/>
  <c r="E22"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29" i="3"/>
  <c r="E16" i="3"/>
  <c r="E188" i="3"/>
  <c r="E223" i="3"/>
  <c r="E116" i="3"/>
  <c r="E105" i="3"/>
  <c r="E393" i="3"/>
  <c r="E493" i="3"/>
  <c r="E564" i="3"/>
  <c r="E543" i="3"/>
  <c r="E427" i="3"/>
  <c r="E486" i="3"/>
  <c r="E507" i="3"/>
  <c r="E422" i="3"/>
  <c r="E440" i="3"/>
  <c r="E490" i="3"/>
  <c r="E376" i="3"/>
  <c r="AH6" i="3"/>
  <c r="J6" i="3"/>
  <c r="E498" i="3"/>
  <c r="E419" i="3"/>
  <c r="E483" i="3"/>
  <c r="E401" i="3"/>
  <c r="E463" i="3"/>
  <c r="E40" i="3"/>
  <c r="E178" i="3"/>
  <c r="E119" i="3"/>
  <c r="E202" i="3"/>
  <c r="E226" i="3"/>
  <c r="E276" i="3"/>
  <c r="E346" i="3"/>
  <c r="E333" i="3"/>
  <c r="E372" i="3"/>
  <c r="L6" i="3"/>
  <c r="E60" i="3"/>
  <c r="E43" i="3"/>
  <c r="E540" i="3"/>
  <c r="E473" i="3"/>
  <c r="E15" i="3"/>
  <c r="E455" i="3"/>
  <c r="E79" i="3"/>
  <c r="E38"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349" i="3"/>
  <c r="E425" i="3"/>
  <c r="E64" i="3"/>
  <c r="E103" i="3"/>
  <c r="E160" i="3"/>
  <c r="E200" i="3"/>
  <c r="E267" i="3"/>
  <c r="E300" i="3"/>
  <c r="E310" i="3"/>
  <c r="E23" i="3"/>
  <c r="E33" i="3"/>
  <c r="E184" i="3"/>
  <c r="E233" i="3"/>
  <c r="E381" i="3"/>
  <c r="E68" i="3"/>
  <c r="E81" i="3"/>
  <c r="E264" i="3"/>
  <c r="E283" i="3"/>
  <c r="E513" i="3"/>
  <c r="E21"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89" i="3"/>
  <c r="E544" i="3"/>
  <c r="E76" i="3"/>
  <c r="E59" i="3"/>
  <c r="E409" i="3"/>
  <c r="E484" i="3"/>
  <c r="E467" i="3"/>
  <c r="E46" i="3"/>
  <c r="E142" i="3"/>
  <c r="E249" i="3"/>
  <c r="E371" i="3"/>
  <c r="E492" i="3"/>
  <c r="E67" i="3"/>
  <c r="E144" i="3"/>
  <c r="E355" i="3"/>
  <c r="E63" i="3"/>
  <c r="E118" i="3"/>
  <c r="E309" i="3"/>
  <c r="E115" i="3"/>
  <c r="E391" i="3"/>
  <c r="E94" i="3"/>
  <c r="E428" i="3"/>
  <c r="E412" i="3"/>
  <c r="E96" i="3"/>
  <c r="E129" i="3"/>
  <c r="E174" i="3"/>
  <c r="E275" i="3"/>
  <c r="E324" i="3"/>
  <c r="E342" i="3"/>
  <c r="E522" i="3"/>
  <c r="E86" i="3"/>
  <c r="E49" i="3"/>
  <c r="E232" i="3"/>
  <c r="E370" i="3"/>
  <c r="E102" i="3"/>
  <c r="E158" i="3"/>
  <c r="E308" i="3"/>
  <c r="E326" i="3"/>
  <c r="E83"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H6" i="3" s="1"/>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J7" i="37"/>
  <c r="D87" i="71"/>
  <c r="C86" i="71"/>
  <c r="D86" i="71" s="1"/>
  <c r="B66" i="71"/>
  <c r="N67" i="71"/>
  <c r="E19" i="71"/>
  <c r="E18" i="71" s="1"/>
  <c r="E17" i="71" s="1"/>
  <c r="E16" i="71" s="1"/>
  <c r="V20" i="71"/>
  <c r="AZ206" i="3"/>
  <c r="AZ5" i="3" s="1"/>
  <c r="AC39" i="40"/>
  <c r="W39" i="40"/>
  <c r="U25" i="37"/>
  <c r="AB25" i="37"/>
  <c r="U12" i="35"/>
  <c r="AB12" i="35"/>
  <c r="AA38" i="40"/>
  <c r="S38" i="40"/>
  <c r="AC26" i="37"/>
  <c r="W26" i="37"/>
  <c r="AC9" i="34"/>
  <c r="W9" i="34"/>
  <c r="BA5" i="3"/>
  <c r="C32" i="71"/>
  <c r="D31" i="71"/>
  <c r="E100" i="3"/>
  <c r="E108" i="3"/>
  <c r="E242" i="3"/>
  <c r="U39" i="40"/>
  <c r="AB39" i="40"/>
  <c r="AB24" i="36"/>
  <c r="U24" i="36"/>
  <c r="AA26" i="33"/>
  <c r="S26" i="33"/>
  <c r="AA44" i="39"/>
  <c r="S44" i="39"/>
  <c r="AB26" i="37"/>
  <c r="U26" i="37"/>
  <c r="BL5" i="3"/>
  <c r="B15" i="71"/>
  <c r="B14" i="71" s="1"/>
  <c r="B13" i="71" s="1"/>
  <c r="B12" i="71" s="1"/>
  <c r="S16" i="71"/>
  <c r="E27" i="71"/>
  <c r="E26" i="71" s="1"/>
  <c r="V28" i="71"/>
  <c r="E84" i="3"/>
  <c r="C40" i="71"/>
  <c r="D39" i="71"/>
  <c r="E25" i="3"/>
  <c r="AC25" i="37"/>
  <c r="W25" i="37"/>
  <c r="U12" i="36"/>
  <c r="AB12" i="36"/>
  <c r="AB38" i="40"/>
  <c r="U38" i="40"/>
  <c r="AB44" i="39"/>
  <c r="U44" i="39"/>
  <c r="C22" i="71"/>
  <c r="D23" i="71"/>
  <c r="D43" i="71"/>
  <c r="C44" i="71"/>
  <c r="C52" i="71"/>
  <c r="D51" i="71"/>
  <c r="T56" i="71"/>
  <c r="D56" i="71"/>
  <c r="AZ112" i="3"/>
  <c r="AA25" i="37"/>
  <c r="S25" i="37"/>
  <c r="AC36" i="35"/>
  <c r="W36" i="35"/>
  <c r="AC38" i="40"/>
  <c r="W38" i="40"/>
  <c r="AA26" i="37"/>
  <c r="S26" i="37"/>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15"/>
  <c r="F59" i="15"/>
  <c r="P28" i="43"/>
  <c r="B66" i="40" s="1"/>
  <c r="P25" i="43"/>
  <c r="P29" i="43"/>
  <c r="P27" i="43"/>
  <c r="B70" i="39" s="1"/>
  <c r="C49" i="15"/>
  <c r="J18" i="15"/>
  <c r="M11" i="67"/>
  <c r="J10" i="67" s="1"/>
  <c r="F11" i="15"/>
  <c r="M11" i="15"/>
  <c r="J10" i="15" s="1"/>
  <c r="J5" i="15" s="1"/>
  <c r="J24" i="15" s="1"/>
  <c r="F11" i="67"/>
  <c r="F1" i="15"/>
  <c r="Q52" i="15"/>
  <c r="C32" i="15"/>
  <c r="Q60" i="15"/>
  <c r="Q73" i="15"/>
  <c r="Q74" i="15"/>
  <c r="Q61" i="15"/>
  <c r="AE11" i="1"/>
  <c r="AE9" i="1"/>
  <c r="F27" i="68"/>
  <c r="AE7" i="1"/>
  <c r="AE8" i="1"/>
  <c r="AE12" i="1"/>
  <c r="AE10" i="1"/>
  <c r="AE6" i="1"/>
  <c r="G1" i="73"/>
  <c r="F41" i="67"/>
  <c r="F48" i="68" l="1"/>
  <c r="C30" i="68"/>
  <c r="C48" i="68"/>
  <c r="C48" i="11"/>
  <c r="C30" i="11"/>
  <c r="F48" i="69"/>
  <c r="C48" i="69"/>
  <c r="C30" i="69"/>
  <c r="Q60" i="67"/>
  <c r="F59" i="67"/>
  <c r="C49" i="67"/>
  <c r="M17" i="67"/>
  <c r="Q74" i="67"/>
  <c r="Q52" i="67"/>
  <c r="J5" i="67"/>
  <c r="J24" i="67" s="1"/>
  <c r="B40" i="1"/>
  <c r="L36" i="43" s="1"/>
  <c r="P36" i="43" s="1"/>
  <c r="AY6" i="3"/>
  <c r="E3" i="6"/>
  <c r="T52" i="71"/>
  <c r="D52" i="71"/>
  <c r="D22" i="71"/>
  <c r="C21" i="71"/>
  <c r="B11" i="71"/>
  <c r="B10" i="71" s="1"/>
  <c r="B9" i="71" s="1"/>
  <c r="B8" i="71" s="1"/>
  <c r="B7" i="71" s="1"/>
  <c r="B6" i="71" s="1"/>
  <c r="B5" i="71" s="1"/>
  <c r="S12" i="71"/>
  <c r="T32" i="71"/>
  <c r="D32" i="71"/>
  <c r="E15" i="71"/>
  <c r="E14" i="71" s="1"/>
  <c r="E13" i="71" s="1"/>
  <c r="E12" i="71" s="1"/>
  <c r="V16" i="71"/>
  <c r="T44" i="71"/>
  <c r="D44" i="71"/>
  <c r="E65" i="39"/>
  <c r="N65" i="71"/>
  <c r="N66" i="71"/>
  <c r="T40" i="71"/>
  <c r="D40"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M27" i="67"/>
  <c r="M27" i="15"/>
  <c r="F41" i="15"/>
  <c r="F22" i="11" l="1"/>
  <c r="C24" i="11" s="1"/>
  <c r="L37" i="43"/>
  <c r="Q37" i="43" s="1"/>
  <c r="C48" i="67"/>
  <c r="C66" i="67" s="1"/>
  <c r="F22" i="68"/>
  <c r="C44" i="68" s="1"/>
  <c r="D41" i="68" s="1"/>
  <c r="F22" i="69"/>
  <c r="F41" i="69" s="1"/>
  <c r="F24" i="15"/>
  <c r="C24" i="15" s="1"/>
  <c r="F25" i="12"/>
  <c r="C26" i="12" s="1"/>
  <c r="D25" i="12" s="1"/>
  <c r="F24" i="67"/>
  <c r="C24" i="67" s="1"/>
  <c r="O36" i="43"/>
  <c r="N36" i="43"/>
  <c r="D116" i="43"/>
  <c r="Q36" i="43"/>
  <c r="E11" i="71"/>
  <c r="E10" i="71" s="1"/>
  <c r="E9" i="71" s="1"/>
  <c r="E8" i="71" s="1"/>
  <c r="E7" i="71" s="1"/>
  <c r="E6" i="71" s="1"/>
  <c r="E5" i="71" s="1"/>
  <c r="V12" i="71"/>
  <c r="D21" i="71"/>
  <c r="C20" i="71"/>
  <c r="M36"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0" i="67"/>
  <c r="D10" i="69"/>
  <c r="C34" i="69"/>
  <c r="D10" i="68"/>
  <c r="C14" i="67"/>
  <c r="C17" i="15"/>
  <c r="C17" i="67"/>
  <c r="C44" i="11" l="1"/>
  <c r="D41" i="11" s="1"/>
  <c r="P37" i="43"/>
  <c r="C26" i="11"/>
  <c r="D22" i="11" s="1"/>
  <c r="C23" i="11"/>
  <c r="M37" i="43"/>
  <c r="C25" i="11"/>
  <c r="F41" i="68"/>
  <c r="N37" i="43"/>
  <c r="O37" i="43"/>
  <c r="C26" i="68"/>
  <c r="D22" i="68" s="1"/>
  <c r="C26" i="69"/>
  <c r="D22" i="69" s="1"/>
  <c r="C44" i="69"/>
  <c r="D41" i="69" s="1"/>
  <c r="C19" i="71"/>
  <c r="T20" i="71"/>
  <c r="D20" i="71"/>
  <c r="U20" i="71" s="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C22" i="11" l="1"/>
  <c r="C31" i="11" s="1"/>
  <c r="C8" i="69"/>
  <c r="C5" i="69" s="1"/>
  <c r="C23" i="69" s="1"/>
  <c r="B29" i="1"/>
  <c r="C18" i="71"/>
  <c r="D19"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8" i="68" l="1"/>
  <c r="C5" i="68" s="1"/>
  <c r="C23" i="68" s="1"/>
  <c r="C18" i="12"/>
  <c r="C21" i="12" s="1"/>
  <c r="C22" i="12" s="1"/>
  <c r="C17" i="71"/>
  <c r="D18"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W7" i="21"/>
  <c r="C20" i="68" l="1"/>
  <c r="C28" i="68" s="1"/>
  <c r="C27" i="68" s="1"/>
  <c r="C27" i="12"/>
  <c r="C25" i="12" s="1"/>
  <c r="C30" i="12"/>
  <c r="C28" i="12" s="1"/>
  <c r="AA7" i="21"/>
  <c r="R48" i="21" s="1"/>
  <c r="R49" i="21" s="1"/>
  <c r="C16" i="71"/>
  <c r="D17" i="71"/>
  <c r="J7" i="35"/>
  <c r="AC7" i="35" s="1"/>
  <c r="V38" i="35" s="1"/>
  <c r="I38"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J65" i="40"/>
  <c r="K63" i="40"/>
  <c r="I52" i="21"/>
  <c r="J52" i="21" s="1"/>
  <c r="U7" i="35"/>
  <c r="AB7" i="35"/>
  <c r="T38" i="35" s="1"/>
  <c r="G38" i="35" s="1"/>
  <c r="E48" i="21"/>
  <c r="G52" i="21"/>
  <c r="H52" i="21" s="1"/>
  <c r="G53" i="21"/>
  <c r="H53" i="21" s="1"/>
  <c r="F7" i="35"/>
  <c r="M21" i="15"/>
  <c r="F35" i="15"/>
  <c r="F35" i="67"/>
  <c r="M21" i="67"/>
  <c r="C32" i="12" l="1"/>
  <c r="B2" i="12" s="1"/>
  <c r="B3" i="12" s="1"/>
  <c r="C25" i="68"/>
  <c r="C22" i="68" s="1"/>
  <c r="C31" i="68" s="1"/>
  <c r="C15" i="71"/>
  <c r="T16" i="71"/>
  <c r="D16" i="71"/>
  <c r="U16" i="7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9"/>
  <c r="C52" i="68"/>
  <c r="B2" i="68" s="1"/>
  <c r="B3" i="68" s="1"/>
  <c r="D15" i="71"/>
  <c r="C14"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C103" i="9" l="1"/>
  <c r="C13" i="71"/>
  <c r="D14"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3" i="71" l="1"/>
  <c r="C12"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7"/>
  <c r="D19" i="9"/>
  <c r="D2" i="35"/>
  <c r="D2" i="34"/>
  <c r="D2" i="36"/>
  <c r="L51" i="15"/>
  <c r="D102" i="9" l="1"/>
  <c r="D21" i="9"/>
  <c r="D22" i="9"/>
  <c r="G19" i="9"/>
  <c r="G21" i="9" s="1"/>
  <c r="B3" i="33"/>
  <c r="C11" i="71"/>
  <c r="T12" i="71"/>
  <c r="D12" i="71"/>
  <c r="U12" i="71" s="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2" i="1"/>
  <c r="AO8" i="1"/>
  <c r="AO10" i="1"/>
  <c r="AO9" i="1"/>
  <c r="D20" i="9"/>
  <c r="AO7" i="1"/>
  <c r="AO11" i="1"/>
  <c r="D103" i="9" l="1"/>
  <c r="E23" i="9"/>
  <c r="G20" i="9"/>
  <c r="D11" i="71"/>
  <c r="C10"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E14" i="74"/>
  <c r="D14" i="74" s="1"/>
  <c r="D10" i="7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42" i="40"/>
  <c r="C43" i="40"/>
  <c r="E47" i="40"/>
  <c r="F47" i="40" s="1"/>
  <c r="E46" i="40"/>
  <c r="F46" i="40" s="1"/>
  <c r="I47" i="40"/>
  <c r="J47" i="40" s="1"/>
  <c r="D8" i="71" l="1"/>
  <c r="C7"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F14" i="74"/>
  <c r="B5" i="74"/>
  <c r="D5" i="74" s="1"/>
  <c r="D6" i="71" l="1"/>
  <c r="C5" i="71"/>
  <c r="D5" i="71" s="1"/>
  <c r="M24" i="43" s="1"/>
  <c r="B6" i="74"/>
  <c r="D6" i="74" s="1"/>
  <c r="D52" i="9" l="1"/>
  <c r="D53" i="9"/>
  <c r="N60" i="9"/>
  <c r="N61" i="9"/>
  <c r="N58" i="9"/>
  <c r="N59" i="9"/>
  <c r="P57" i="9"/>
  <c r="C104" i="9"/>
  <c r="H4" i="52"/>
  <c r="C105" i="9"/>
  <c r="I4" i="52"/>
  <c r="D8" i="52"/>
  <c r="N57" i="9"/>
  <c r="H119" i="9"/>
  <c r="H5" i="52"/>
  <c r="D54" i="9"/>
  <c r="D55" i="9"/>
  <c r="M53" i="9"/>
  <c r="M48" i="9"/>
  <c r="B52" i="72"/>
  <c r="B30" i="72"/>
  <c r="E97" i="9"/>
  <c r="B48" i="72"/>
  <c r="B49" i="72"/>
  <c r="B47" i="72"/>
  <c r="B53" i="72"/>
  <c r="C81" i="9"/>
  <c r="B31" i="72"/>
  <c r="G4" i="52"/>
  <c r="D122" i="9"/>
  <c r="D123" i="9"/>
  <c r="D9" i="52"/>
  <c r="D13" i="53"/>
  <c r="D14" i="53"/>
  <c r="B32" i="72"/>
  <c r="E4" i="52"/>
  <c r="D5" i="52"/>
  <c r="C6" i="74"/>
  <c r="H107" i="9"/>
  <c r="H108" i="9"/>
  <c r="D15" i="53"/>
  <c r="B22" i="72"/>
  <c r="M54" i="9"/>
  <c r="F4" i="52"/>
  <c r="B51" i="72"/>
  <c r="D4" i="52"/>
  <c r="E118" i="9"/>
  <c r="D118" i="9"/>
  <c r="D119" i="9"/>
  <c r="D6" i="53"/>
  <c r="D5" i="53"/>
  <c r="B20" i="72"/>
  <c r="C78" i="9"/>
  <c r="C73" i="9"/>
  <c r="C68" i="9"/>
  <c r="C97" i="9"/>
  <c r="D58" i="9"/>
  <c r="D56" i="9"/>
  <c r="C5" i="74"/>
  <c r="E81" i="9"/>
  <c r="C64" i="9"/>
  <c r="C63" i="9"/>
  <c r="C67" i="9"/>
  <c r="D59" i="9"/>
  <c r="M55" i="9"/>
  <c r="C72" i="9"/>
  <c r="C79" i="9"/>
  <c r="C80" i="9"/>
  <c r="E80" i="9"/>
  <c r="H102" i="9"/>
  <c r="D7" i="53"/>
  <c r="B21" i="72"/>
  <c r="C85" i="9"/>
  <c r="C95" i="9"/>
  <c r="C96" i="9"/>
  <c r="E96" i="9"/>
  <c r="I118" i="9"/>
  <c r="H118" i="9"/>
  <c r="H101" i="9"/>
  <c r="D45" i="9"/>
  <c r="C93" i="9"/>
  <c r="C86" i="9"/>
  <c r="G118" i="9"/>
  <c r="F118" i="9"/>
  <c r="F119" i="9"/>
  <c r="F5"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<sst xmlns="http://schemas.openxmlformats.org/spreadsheetml/2006/main" count="7914" uniqueCount="3466">
  <si>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</si>
  <si>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</si>
  <si>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</si>
  <si>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</si>
  <si>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</si>
  <si>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</si>
  <si>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</si>
  <si>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</si>
  <si>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</si>
  <si>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</si>
  <si>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</si>
  <si>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</si>
  <si>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</si>
  <si>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</si>
  <si>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</si>
  <si>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</si>
  <si>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</si>
  <si>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</si>
  <si>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</si>
  <si>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</si>
  <si>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</si>
  <si>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</si>
  <si>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</si>
  <si>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</si>
  <si>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</si>
  <si>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</si>
  <si>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</si>
  <si>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</si>
  <si>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</si>
  <si>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</si>
  <si>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</si>
  <si>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</si>
  <si>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</si>
  <si>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</si>
  <si>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</si>
  <si>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</si>
  <si>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</si>
  <si>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</si>
  <si>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</si>
  <si>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</si>
  <si>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</si>
  <si>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</si>
  <si>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</si>
  <si>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</si>
  <si>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</si>
  <si>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</si>
  <si>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</si>
  <si>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</si>
  <si>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</si>
  <si>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</si>
  <si>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</si>
  <si>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</si>
  <si>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</si>
  <si>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</si>
  <si>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</si>
  <si>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</si>
  <si>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</si>
  <si>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</si>
  <si>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</si>
  <si>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</si>
  <si>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</si>
  <si>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</si>
  <si>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</si>
  <si>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</si>
  <si>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</si>
  <si>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</si>
  <si>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</si>
  <si>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</si>
  <si>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</si>
  <si>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</si>
  <si>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</si>
  <si>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</si>
  <si>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</si>
  <si>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</si>
  <si>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</si>
  <si>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</si>
  <si>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</si>
  <si>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</si>
  <si>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</si>
  <si>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</si>
  <si>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</si>
  <si>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</si>
  <si>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</si>
  <si>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</si>
  <si>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</si>
  <si>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</si>
  <si>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</si>
  <si>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</si>
  <si>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</si>
  <si>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</si>
  <si>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</si>
  <si>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</si>
  <si>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</si>
  <si>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</si>
  <si>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</si>
  <si>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</si>
  <si>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</si>
  <si>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</si>
  <si>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</si>
  <si>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</si>
  <si>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</si>
  <si>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</si>
  <si>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</si>
  <si>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</si>
  <si>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</si>
  <si>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</si>
  <si>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</si>
  <si>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</si>
  <si>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</si>
  <si>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</si>
  <si>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</si>
  <si>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</si>
  <si>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</si>
  <si>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</si>
  <si>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</si>
  <si>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</si>
  <si>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</si>
  <si>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</si>
  <si>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</si>
  <si>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</si>
  <si>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</si>
  <si>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</si>
  <si>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</si>
  <si>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</si>
  <si>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</si>
  <si>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</si>
  <si>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</si>
  <si>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</si>
  <si>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</si>
  <si>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</si>
  <si>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</si>
  <si>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</si>
  <si>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</si>
  <si>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</si>
  <si>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</si>
  <si>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</si>
  <si>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</si>
  <si>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</si>
  <si>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</si>
  <si>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</si>
  <si>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</si>
  <si>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</si>
  <si>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</si>
  <si>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</si>
  <si>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</si>
  <si>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</si>
  <si>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</si>
  <si>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</si>
  <si>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</si>
  <si>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</si>
  <si>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</si>
  <si>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</si>
  <si>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</si>
  <si>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</si>
  <si>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</si>
  <si>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</si>
  <si>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</si>
  <si>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</si>
  <si>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</si>
  <si>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</si>
  <si>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</si>
  <si>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</si>
  <si>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</si>
  <si>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</si>
  <si>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</si>
  <si>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</si>
  <si>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</si>
  <si>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</si>
  <si>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</si>
  <si>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</si>
  <si>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</si>
  <si>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</si>
  <si>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</si>
  <si>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</si>
  <si>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</si>
  <si>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</si>
  <si>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</si>
  <si>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</si>
  <si>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</si>
  <si>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</si>
  <si>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</si>
  <si>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</si>
  <si>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</si>
  <si>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</si>
  <si>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</si>
  <si>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</si>
  <si>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</si>
  <si>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</si>
  <si>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</si>
  <si>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</si>
  <si>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</si>
  <si>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</si>
  <si>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</si>
  <si>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</si>
  <si>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</si>
  <si>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</si>
  <si>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</si>
  <si>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</si>
  <si>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</si>
  <si>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</si>
  <si>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</si>
  <si>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</si>
  <si>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</si>
  <si>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</si>
  <si>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</si>
  <si>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</si>
  <si>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</si>
  <si>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</si>
  <si>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</si>
  <si>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</si>
  <si>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</si>
  <si>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</si>
  <si>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</si>
  <si>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</si>
  <si>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</si>
  <si>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</si>
  <si>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</si>
  <si>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</si>
  <si>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</si>
  <si>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</si>
  <si>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</si>
  <si>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</si>
  <si>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</si>
  <si>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</si>
  <si>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</si>
  <si>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</si>
  <si>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</si>
  <si>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</si>
  <si>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</si>
  <si>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</si>
  <si>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</si>
  <si>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</si>
  <si>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</si>
  <si>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</si>
  <si>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</si>
  <si>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</si>
  <si>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</si>
  <si>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</si>
  <si>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</si>
  <si>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</si>
  <si>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</si>
  <si>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</si>
  <si>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</si>
  <si>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</si>
  <si>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</si>
  <si>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</si>
  <si>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</si>
  <si>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</si>
  <si>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</si>
  <si>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</si>
  <si>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</si>
  <si>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</si>
  <si>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</si>
  <si>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</si>
  <si>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</si>
  <si>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</si>
  <si>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</si>
  <si>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</si>
  <si>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</si>
  <si>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</si>
  <si>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</si>
  <si>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</si>
  <si>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</si>
  <si>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</si>
  <si>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</si>
  <si>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</si>
  <si>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</si>
  <si>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</si>
  <si>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</si>
  <si>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</si>
  <si>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</si>
  <si>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</si>
  <si>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</si>
  <si>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</si>
  <si>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</si>
  <si>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</si>
  <si>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</si>
  <si>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</si>
  <si>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</si>
  <si>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</si>
  <si>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</si>
  <si>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</si>
  <si>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</si>
  <si>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</si>
  <si>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</si>
  <si>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</si>
  <si>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</si>
  <si>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</si>
  <si>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</si>
  <si>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</si>
  <si>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</si>
  <si>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</si>
  <si>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</si>
  <si>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</si>
  <si>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</si>
  <si>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</si>
  <si>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</si>
  <si>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</si>
  <si>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</si>
  <si>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</si>
  <si>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</si>
  <si>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</si>
  <si>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</si>
  <si>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</si>
  <si>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</si>
  <si>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</si>
  <si>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</si>
  <si>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</si>
  <si>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</si>
  <si>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</si>
  <si>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</si>
  <si>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</si>
  <si>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</si>
  <si>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</si>
  <si>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</si>
  <si>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</si>
  <si>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</si>
  <si>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</si>
  <si>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</si>
  <si>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</si>
  <si>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</si>
  <si>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</si>
  <si>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</si>
  <si>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</si>
  <si>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</si>
  <si>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</si>
  <si>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</si>
  <si>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</si>
  <si>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</si>
  <si>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</si>
  <si>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</si>
  <si>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</si>
  <si>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</si>
  <si>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</si>
  <si>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</si>
  <si>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</si>
  <si>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</si>
  <si>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</si>
  <si>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</si>
  <si>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</si>
  <si>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</si>
  <si>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</si>
  <si>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</si>
  <si>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</si>
  <si>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</si>
  <si>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</si>
  <si>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</si>
  <si>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</si>
  <si>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</si>
  <si>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</si>
  <si>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</si>
  <si>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</si>
  <si>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</si>
  <si>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</si>
  <si>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</si>
  <si>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</si>
  <si>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</si>
  <si>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</si>
  <si>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</si>
  <si>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</si>
  <si>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</si>
  <si>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</si>
  <si>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</si>
  <si>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</si>
  <si>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</si>
  <si>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</si>
  <si>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</si>
  <si>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</si>
  <si>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</si>
  <si>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</si>
  <si>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</si>
  <si>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</si>
  <si>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</si>
  <si>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</si>
  <si>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</si>
  <si>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</si>
  <si>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</si>
  <si>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</si>
  <si>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</si>
  <si>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</si>
  <si>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</si>
  <si>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</si>
  <si>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</si>
  <si>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</si>
  <si>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</si>
  <si>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</si>
  <si>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</si>
  <si>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</si>
  <si>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</si>
  <si>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</si>
  <si>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</si>
  <si>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</si>
  <si>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</si>
  <si>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</si>
  <si>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</si>
  <si>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</si>
  <si>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</si>
  <si>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</si>
  <si>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</si>
  <si>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</si>
  <si>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</si>
  <si>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</si>
  <si>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</si>
  <si>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</si>
  <si>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</si>
  <si>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</si>
  <si>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</si>
  <si>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</si>
  <si>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</si>
  <si>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</si>
  <si>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</si>
  <si>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</si>
  <si>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</si>
  <si>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</si>
  <si>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</si>
  <si>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</si>
  <si>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</si>
  <si>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</si>
  <si>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</si>
  <si>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</si>
  <si>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</si>
  <si>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</si>
  <si>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</si>
  <si>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</si>
  <si>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</si>
  <si>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</si>
  <si>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</si>
  <si>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</si>
  <si>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</si>
  <si>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</si>
  <si>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</si>
  <si>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</si>
  <si>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</si>
  <si>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</si>
  <si>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</si>
  <si>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</si>
  <si>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</si>
  <si>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</si>
  <si>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</si>
  <si>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</si>
  <si>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</si>
  <si>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</si>
  <si>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</si>
  <si>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</si>
  <si>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</si>
  <si>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</si>
  <si>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</si>
  <si>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</si>
  <si>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</si>
  <si>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</si>
  <si>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</si>
  <si>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</si>
  <si>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</si>
  <si>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</si>
  <si>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</si>
  <si>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</si>
  <si>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</si>
  <si>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</si>
  <si>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</si>
  <si>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</si>
  <si>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</si>
  <si>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</si>
  <si>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</si>
  <si>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</si>
  <si>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</si>
  <si>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</si>
  <si>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</si>
  <si>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</si>
  <si>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</si>
  <si>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</si>
  <si>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</si>
  <si>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</si>
  <si>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</si>
  <si>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</si>
  <si>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</si>
  <si>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</si>
  <si>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</si>
  <si>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</si>
  <si>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</si>
  <si>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</si>
  <si>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</si>
  <si>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</si>
  <si>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</si>
  <si>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</si>
  <si>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</si>
  <si>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</si>
  <si>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</si>
  <si>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</si>
  <si>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</si>
  <si>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</si>
  <si>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</si>
  <si>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</si>
  <si>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</si>
  <si>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</si>
  <si>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</si>
  <si>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</si>
  <si>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</si>
  <si>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</si>
  <si>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</si>
  <si>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</si>
  <si>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</si>
  <si>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</si>
  <si>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</si>
  <si>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</si>
  <si>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</si>
  <si>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</si>
  <si>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</si>
  <si>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</si>
  <si>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</si>
  <si>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</si>
  <si>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</si>
  <si>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</si>
  <si>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</si>
  <si>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</si>
  <si>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</si>
  <si>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</si>
  <si>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</si>
  <si>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</si>
  <si>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</si>
  <si>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</si>
  <si>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</si>
  <si>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</si>
  <si>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</si>
  <si>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</si>
  <si>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</si>
  <si>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</si>
  <si>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</si>
  <si>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</si>
  <si>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</si>
  <si>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</si>
  <si>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</si>
  <si>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</si>
  <si>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</si>
  <si>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</si>
  <si>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</si>
  <si>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</si>
  <si>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</si>
  <si>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</si>
  <si>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</si>
  <si>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</si>
  <si>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</si>
  <si>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</si>
  <si>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</si>
  <si>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</si>
  <si>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</si>
  <si>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</si>
  <si>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</si>
  <si>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</si>
  <si>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</si>
  <si>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</si>
  <si>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</si>
  <si>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</si>
  <si>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</si>
  <si>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</si>
  <si>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</si>
  <si>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</si>
  <si>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</si>
  <si>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</si>
  <si>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</si>
  <si>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</si>
  <si>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</si>
  <si>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</si>
  <si>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</si>
  <si>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</si>
  <si>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</si>
  <si>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</si>
  <si>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</si>
  <si>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</si>
  <si>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</si>
  <si>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</si>
  <si>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</si>
  <si>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</si>
  <si>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</si>
  <si>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</si>
  <si>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</si>
  <si>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</si>
  <si>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</si>
  <si>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</si>
  <si>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</si>
  <si>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</si>
  <si>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</si>
  <si>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</si>
  <si>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</si>
  <si>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</si>
  <si>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</si>
  <si>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</si>
  <si>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</si>
  <si>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</si>
  <si>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</si>
  <si>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</si>
  <si>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</si>
  <si>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</si>
  <si>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</si>
  <si>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</si>
  <si>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</si>
  <si>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</si>
  <si>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</si>
  <si>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</si>
  <si>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</si>
  <si>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</si>
  <si>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</si>
  <si>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</si>
  <si>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</si>
  <si>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</si>
  <si>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</si>
  <si>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</si>
  <si>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</si>
  <si>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</si>
  <si>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</si>
  <si>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</si>
  <si>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</si>
  <si>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</si>
  <si>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</si>
  <si>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</si>
  <si>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</si>
  <si>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</si>
  <si>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</si>
  <si>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</si>
  <si>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</si>
  <si>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</si>
  <si>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</si>
  <si>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</si>
  <si>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</si>
  <si>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</si>
  <si>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</si>
  <si>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</si>
  <si>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</si>
  <si>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</si>
  <si>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</si>
  <si>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</si>
  <si>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</si>
  <si>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</si>
  <si>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</si>
  <si>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</si>
  <si>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</si>
  <si>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</si>
  <si>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</si>
  <si>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</si>
  <si>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</si>
  <si>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</si>
  <si>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</si>
  <si>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</si>
  <si>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</si>
  <si>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</si>
  <si>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</si>
  <si>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</si>
  <si>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</si>
  <si>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</si>
  <si>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</si>
  <si>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</si>
  <si>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</si>
  <si>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</si>
  <si>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</si>
  <si>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</si>
  <si>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</si>
  <si>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</si>
  <si>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</si>
  <si>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</si>
  <si>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</si>
  <si>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</si>
  <si>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</si>
  <si>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</si>
  <si>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</si>
  <si>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</si>
  <si>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</si>
  <si>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</si>
  <si>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</si>
  <si>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</si>
  <si>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</si>
  <si>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</si>
  <si>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</si>
  <si>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</si>
  <si>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</si>
  <si>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</si>
  <si>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</si>
  <si>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</si>
  <si>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</si>
  <si>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</si>
  <si>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</si>
  <si>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</si>
  <si>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</si>
  <si>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</si>
  <si>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</si>
  <si>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</si>
  <si>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</si>
  <si>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</si>
  <si>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</si>
  <si>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</si>
  <si>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</si>
  <si>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</si>
  <si>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</si>
  <si>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</si>
  <si>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</si>
  <si>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</si>
  <si>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</si>
  <si>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</si>
  <si>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</si>
  <si>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</si>
  <si>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</si>
  <si>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</si>
  <si>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</si>
  <si>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</si>
  <si>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</si>
  <si>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</si>
  <si>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</si>
  <si>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</si>
  <si>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</si>
  <si>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</si>
  <si>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</si>
  <si>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</si>
  <si>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</si>
  <si>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</si>
  <si>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</si>
  <si>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</si>
  <si>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</si>
  <si>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</si>
  <si>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</si>
  <si>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</si>
  <si>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</si>
  <si>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</si>
  <si>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</si>
  <si>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</si>
  <si>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</si>
  <si>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</si>
  <si>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</si>
  <si>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</si>
  <si>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</si>
  <si>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</si>
  <si>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</si>
  <si>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</si>
  <si>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</si>
  <si>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</si>
  <si>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</si>
  <si>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</si>
  <si>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</si>
  <si>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</si>
  <si>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</si>
  <si>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</si>
  <si>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</si>
  <si>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</si>
  <si>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</si>
  <si>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</si>
  <si>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</si>
  <si>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</si>
  <si>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</si>
  <si>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</si>
  <si>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</si>
  <si>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</si>
  <si>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</si>
  <si>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</si>
  <si>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</si>
  <si>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</si>
  <si>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</si>
  <si>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</si>
  <si>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</si>
  <si>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</si>
  <si>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</si>
  <si>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</si>
  <si>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</si>
  <si>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</si>
  <si>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</si>
  <si>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</si>
  <si>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</si>
  <si>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</si>
  <si>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</si>
  <si>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</si>
  <si>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</si>
  <si>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</si>
  <si>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</si>
  <si>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</si>
  <si>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</si>
  <si>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</si>
  <si>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</si>
  <si>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</si>
  <si>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</si>
  <si>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</si>
  <si>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</si>
  <si>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</si>
  <si>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</si>
  <si>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</si>
  <si>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</si>
  <si>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</si>
  <si>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</si>
  <si>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</si>
  <si>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</si>
  <si>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</si>
  <si>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</si>
  <si>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</si>
  <si>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</si>
  <si>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</si>
  <si>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</si>
  <si>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</si>
  <si>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</si>
  <si>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</si>
  <si>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</si>
  <si>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</si>
  <si>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</si>
  <si>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</si>
  <si>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</si>
  <si>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</si>
  <si>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</si>
  <si>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</si>
  <si>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</si>
  <si>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</si>
  <si>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</si>
  <si>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</si>
  <si>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</si>
  <si>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</si>
  <si>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</si>
  <si>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</si>
  <si>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</si>
  <si>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</si>
  <si>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</si>
  <si>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</si>
  <si>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</si>
  <si>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</si>
  <si>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</si>
  <si>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</si>
  <si>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</si>
  <si>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</si>
  <si>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</si>
  <si>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</si>
  <si>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</si>
  <si>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</si>
  <si>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</si>
  <si>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</si>
  <si>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</si>
  <si>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</si>
  <si>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</si>
  <si>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</si>
  <si>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</si>
  <si>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</si>
  <si>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</si>
  <si>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</si>
  <si>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</si>
  <si>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</si>
  <si>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</si>
  <si>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</si>
  <si>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</si>
  <si>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</si>
  <si>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</si>
  <si>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</si>
  <si>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</si>
  <si>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</si>
  <si>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</si>
  <si>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</si>
  <si>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</si>
  <si>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</si>
  <si>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</si>
  <si>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</si>
  <si>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</si>
  <si>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</si>
  <si>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</si>
  <si>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</si>
  <si>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</si>
  <si>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</si>
  <si>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</si>
  <si>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</si>
  <si>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</si>
  <si>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</si>
  <si>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</si>
  <si>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</si>
  <si>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</si>
  <si>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</si>
  <si>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</si>
  <si>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</si>
  <si>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</si>
  <si>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</si>
  <si>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</si>
  <si>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</si>
  <si>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</si>
  <si>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</si>
  <si>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</si>
  <si>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</si>
  <si>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</si>
  <si>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</si>
  <si>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</si>
  <si>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</si>
  <si>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</si>
  <si>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</si>
  <si>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</si>
  <si>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</si>
  <si>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</si>
  <si>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</si>
  <si>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</si>
  <si>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</si>
  <si>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</si>
  <si>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</si>
  <si>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</si>
  <si>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</si>
  <si>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</si>
  <si>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</si>
  <si>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</si>
  <si>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</si>
  <si>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</si>
  <si>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</si>
  <si>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</si>
  <si>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</si>
  <si>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</si>
  <si>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</si>
  <si>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</si>
  <si>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</si>
  <si>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</si>
  <si>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</si>
  <si>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</si>
  <si>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</si>
  <si>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</si>
  <si>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</si>
  <si>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</si>
  <si>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</si>
  <si>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</si>
  <si>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</si>
  <si>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</si>
  <si>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</si>
  <si>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</si>
  <si>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</si>
  <si>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</si>
  <si>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</si>
  <si>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</si>
  <si>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</si>
  <si>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</si>
  <si>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</si>
  <si>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</si>
  <si>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</si>
  <si>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</si>
  <si>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</si>
  <si>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</si>
  <si>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</si>
  <si>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</si>
  <si>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</si>
  <si>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</si>
  <si>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</si>
  <si>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</si>
  <si>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</si>
  <si>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</si>
  <si>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</si>
  <si>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</si>
  <si>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</si>
  <si>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</si>
  <si>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</si>
  <si>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</si>
  <si>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</si>
  <si>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</si>
  <si>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</si>
  <si>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</si>
  <si>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</si>
  <si>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</si>
  <si>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</si>
  <si>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</si>
  <si>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</si>
  <si>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</si>
  <si>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</si>
  <si>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</si>
  <si>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</si>
  <si>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</si>
  <si>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</si>
  <si>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</si>
  <si>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</si>
  <si>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</si>
  <si>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</si>
  <si>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</si>
  <si>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</si>
  <si>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</si>
  <si>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</si>
  <si>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</si>
  <si>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</si>
  <si>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</si>
  <si>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</si>
  <si>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</si>
  <si>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</si>
  <si>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</si>
  <si>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</si>
  <si>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</si>
  <si>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</si>
  <si>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</si>
  <si>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</si>
  <si>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</si>
  <si>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</si>
  <si>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</si>
  <si>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</si>
  <si>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</si>
  <si>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</si>
  <si>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</si>
  <si>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</si>
  <si>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</si>
  <si>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</si>
  <si>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</si>
  <si>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</si>
  <si>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</si>
  <si>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</si>
  <si>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</si>
  <si>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</si>
  <si>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</si>
  <si>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</si>
  <si>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</si>
  <si>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</si>
  <si>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</si>
  <si>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</si>
  <si>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</si>
  <si>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</si>
  <si>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</si>
  <si>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</si>
  <si>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</si>
  <si>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</si>
  <si>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</si>
  <si>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</si>
  <si>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</si>
  <si>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</si>
  <si>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</si>
  <si>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</si>
  <si>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</si>
  <si>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</si>
  <si>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</si>
  <si>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</si>
  <si>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</si>
  <si>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</si>
  <si>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</si>
  <si>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</si>
  <si>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</si>
  <si>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</si>
  <si>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</si>
  <si>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</si>
  <si>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</si>
  <si>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</si>
  <si>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</si>
  <si>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</si>
  <si>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</si>
  <si>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</si>
  <si>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</si>
  <si>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</si>
  <si>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</si>
  <si>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</si>
  <si>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</si>
  <si>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</si>
  <si>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</si>
  <si>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</si>
  <si>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</si>
  <si>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</si>
  <si>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</si>
  <si>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</si>
  <si>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</si>
  <si>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</si>
  <si>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</si>
  <si>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</si>
  <si>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</si>
  <si>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</si>
  <si>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</si>
  <si>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</si>
  <si>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</si>
  <si>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</si>
  <si>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</si>
  <si>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</si>
  <si>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</si>
  <si>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</si>
  <si>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</si>
  <si>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</si>
  <si>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</si>
  <si>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</si>
  <si>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</si>
  <si>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</si>
  <si>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</si>
  <si>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</si>
  <si>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</si>
  <si>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</si>
  <si>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</si>
  <si>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</si>
  <si>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</si>
  <si>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</si>
  <si>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</si>
  <si>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</si>
  <si>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</si>
  <si>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</si>
  <si>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</si>
  <si>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</si>
  <si>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</si>
  <si>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</si>
  <si>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</si>
  <si>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</si>
  <si>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</si>
  <si>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</si>
  <si>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</si>
  <si>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</si>
  <si>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</si>
  <si>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</si>
  <si>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</si>
  <si>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</si>
  <si>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</si>
  <si>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</si>
  <si>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</si>
  <si>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</si>
  <si>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</si>
  <si>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</si>
  <si>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</si>
  <si>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</si>
  <si>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</si>
  <si>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</si>
  <si>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</si>
  <si>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</si>
  <si>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</si>
  <si>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</si>
  <si>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</si>
  <si>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</si>
  <si>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</si>
  <si>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</si>
  <si>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</si>
  <si>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</si>
  <si>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</si>
  <si>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</si>
  <si>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</si>
  <si>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</si>
  <si>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</si>
  <si>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</si>
  <si>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</si>
  <si>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</si>
  <si>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</si>
  <si>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</si>
  <si>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</si>
  <si>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</si>
  <si>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</si>
  <si>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</si>
  <si>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</si>
  <si>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</si>
  <si>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</si>
  <si>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</si>
  <si>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</si>
  <si>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</si>
  <si>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</si>
  <si>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</si>
  <si>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</si>
  <si>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</si>
  <si>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</si>
  <si>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</si>
  <si>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</si>
  <si>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</si>
  <si>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</si>
  <si>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</si>
  <si>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</si>
  <si>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</si>
  <si>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</si>
  <si>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</si>
  <si>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</si>
  <si>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</si>
  <si>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</si>
  <si>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</si>
  <si>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</si>
  <si>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</si>
  <si>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</si>
  <si>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</si>
  <si>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</si>
  <si>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</si>
  <si>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</si>
  <si>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</si>
  <si>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</si>
  <si>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</si>
  <si>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</si>
  <si>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</si>
  <si>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</si>
  <si>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</si>
  <si>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</si>
  <si>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</si>
  <si>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</si>
  <si>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</si>
  <si>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</si>
  <si>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</si>
  <si>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</si>
  <si>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</si>
  <si>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</si>
  <si>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</si>
  <si>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</si>
  <si>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</si>
  <si>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</si>
  <si>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</si>
  <si>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</si>
  <si>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</si>
  <si>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</si>
  <si>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</si>
  <si>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</si>
  <si>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</si>
  <si>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</si>
  <si>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</si>
  <si>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</si>
  <si>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</si>
  <si>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</si>
  <si>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</si>
  <si>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</si>
  <si>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</si>
  <si>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</si>
  <si>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</si>
  <si>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</si>
  <si>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</si>
  <si>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</si>
  <si>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</si>
  <si>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</si>
  <si>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</si>
  <si>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</si>
  <si>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</si>
  <si>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</si>
  <si>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</si>
  <si>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</si>
  <si>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</si>
  <si>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</si>
  <si>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</si>
  <si>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</si>
  <si>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</si>
  <si>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</si>
  <si>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</si>
  <si>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</si>
  <si>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</si>
  <si>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</si>
  <si>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</si>
  <si>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</si>
  <si>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</si>
  <si>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</si>
  <si>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</si>
  <si>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</si>
  <si>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</si>
  <si>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</si>
  <si>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</si>
  <si>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</si>
  <si>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</si>
  <si>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</si>
  <si>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</si>
  <si>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</si>
  <si>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</si>
  <si>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</si>
  <si>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</si>
  <si>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</si>
  <si>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</si>
  <si>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</si>
  <si>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</si>
  <si>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</si>
  <si>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</si>
  <si>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</si>
  <si>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</si>
  <si>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</si>
  <si>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</si>
  <si>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</si>
  <si>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</si>
  <si>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</si>
  <si>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</si>
  <si>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</si>
  <si>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</si>
  <si>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</si>
  <si>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</si>
  <si>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</si>
  <si>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</si>
  <si>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</si>
  <si>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</si>
  <si>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</si>
  <si>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</si>
  <si>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</si>
  <si>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</si>
  <si>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</si>
  <si>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</si>
  <si>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</si>
  <si>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</si>
  <si>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</si>
  <si>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</si>
  <si>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</si>
  <si>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</si>
  <si>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</si>
  <si>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</si>
  <si>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</si>
  <si>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</si>
  <si>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</si>
  <si>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</si>
  <si>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</si>
  <si>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</si>
  <si>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</si>
  <si>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</si>
  <si>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</si>
  <si>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</si>
  <si>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</si>
  <si>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</si>
  <si>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</si>
  <si>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</si>
  <si>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</si>
  <si>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</si>
  <si>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</si>
  <si>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</si>
  <si>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</si>
  <si>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</si>
  <si>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</si>
  <si>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</si>
  <si>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</si>
  <si>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</si>
  <si>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</si>
  <si>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</si>
  <si>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</si>
  <si>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</si>
  <si>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</si>
  <si>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</si>
  <si>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</si>
  <si>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</si>
  <si>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</si>
  <si>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</si>
  <si>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</si>
  <si>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</si>
  <si>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</si>
  <si>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</si>
  <si>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</si>
  <si>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</si>
  <si>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</si>
  <si>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</si>
  <si>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</si>
  <si>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</si>
  <si>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</si>
  <si>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</si>
  <si>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</si>
  <si>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</si>
  <si>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</si>
  <si>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</si>
  <si>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</si>
  <si>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</si>
  <si>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</si>
  <si>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</si>
  <si>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</si>
  <si>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</si>
  <si>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</si>
  <si>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</si>
  <si>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</si>
  <si>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</si>
  <si>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</si>
  <si>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</si>
  <si>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</si>
  <si>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</si>
  <si>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</si>
  <si>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</si>
  <si>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</si>
  <si>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</si>
  <si>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</si>
  <si>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</si>
  <si>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</si>
  <si>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</si>
  <si>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</si>
  <si>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</si>
  <si>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</si>
  <si>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</si>
  <si>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</si>
  <si>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</si>
  <si>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</si>
  <si>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</si>
  <si>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</si>
  <si>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</si>
  <si>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</si>
  <si>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</si>
  <si>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</si>
  <si>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</si>
  <si>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</si>
  <si>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</si>
  <si>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</si>
  <si>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</si>
  <si>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</si>
  <si>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</si>
  <si>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</si>
  <si>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</si>
  <si>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</si>
  <si>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</si>
  <si>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</si>
  <si>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</si>
  <si>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</si>
  <si>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</si>
  <si>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</si>
  <si>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</si>
  <si>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</si>
  <si>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</si>
  <si>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</si>
  <si>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</si>
  <si>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</si>
  <si>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</si>
  <si>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</si>
  <si>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</si>
  <si>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</si>
  <si>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</si>
  <si>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</si>
  <si>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</si>
  <si>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</si>
  <si>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</si>
  <si>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</si>
  <si>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</si>
  <si>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</si>
  <si>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</si>
  <si>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</si>
  <si>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</si>
  <si>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</si>
  <si>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</si>
  <si>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</si>
  <si>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</si>
  <si>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</si>
  <si>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</si>
  <si>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</si>
  <si>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</si>
  <si>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</si>
  <si>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</si>
  <si>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</si>
  <si>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</si>
  <si>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</si>
  <si>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</si>
  <si>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</si>
  <si>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</si>
  <si>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</si>
  <si>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</si>
  <si>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</si>
  <si>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</si>
  <si>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</si>
  <si>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</si>
  <si>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</si>
  <si>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</si>
  <si>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</si>
  <si>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</si>
  <si>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</si>
  <si>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</si>
  <si>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</si>
  <si>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</si>
  <si>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</si>
  <si>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</si>
  <si>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</si>
  <si>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</si>
  <si>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</si>
  <si>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</si>
  <si>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</si>
  <si>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</si>
  <si>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</si>
  <si>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</si>
  <si>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</si>
  <si>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</si>
  <si>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</si>
  <si>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</si>
  <si>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</si>
  <si>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</si>
  <si>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</si>
  <si>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</si>
  <si>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</si>
  <si>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</si>
  <si>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</si>
  <si>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</si>
  <si>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</si>
  <si>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</si>
  <si>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</si>
  <si>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</si>
  <si>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</si>
  <si>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</si>
  <si>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</si>
  <si>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</si>
  <si>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</si>
  <si>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</si>
  <si>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</si>
  <si>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</si>
  <si>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</si>
  <si>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</si>
  <si>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</si>
  <si>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</si>
  <si>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</si>
  <si>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</si>
  <si>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</si>
  <si>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</si>
  <si>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</si>
  <si>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</si>
  <si>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</si>
  <si>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</si>
  <si>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</si>
  <si>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</si>
  <si>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</si>
  <si>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</si>
  <si>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</si>
  <si>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</si>
  <si>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</si>
  <si>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</si>
  <si>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</si>
  <si>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</si>
  <si>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</si>
  <si>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</si>
  <si>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</si>
  <si>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</si>
  <si>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</si>
  <si>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</si>
  <si>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</si>
  <si>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</si>
  <si>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</si>
  <si>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</si>
  <si>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</si>
  <si>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</si>
  <si>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</si>
  <si>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</si>
  <si>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</si>
  <si>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</si>
  <si>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</si>
  <si>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</si>
  <si>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</si>
  <si>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</si>
  <si>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</si>
  <si>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</si>
  <si>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</si>
  <si>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</si>
  <si>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</si>
  <si>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</si>
  <si>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</si>
  <si>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</si>
  <si>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</si>
  <si>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</si>
  <si>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</si>
  <si>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</si>
  <si>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</si>
  <si>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</si>
  <si>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</si>
  <si>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</si>
  <si>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</si>
  <si>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</si>
  <si>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</si>
  <si>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</si>
  <si>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</si>
  <si>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</si>
  <si>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</si>
  <si>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</si>
  <si>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</si>
  <si>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</si>
  <si>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</si>
  <si>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</si>
  <si>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</si>
  <si>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</si>
  <si>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</si>
  <si>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</si>
  <si>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</si>
  <si>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</si>
  <si>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</si>
  <si>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</si>
  <si>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</si>
  <si>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</si>
  <si>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</si>
  <si>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</si>
  <si>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</si>
  <si>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</si>
  <si>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</si>
  <si>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</si>
  <si>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</si>
  <si>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</si>
  <si>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</si>
  <si>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</si>
  <si>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</si>
  <si>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</si>
  <si>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</si>
  <si>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</si>
  <si>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</si>
  <si>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</si>
  <si>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</si>
  <si>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</si>
  <si>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</si>
  <si>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</si>
  <si>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</si>
  <si>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</si>
  <si>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</si>
  <si>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</si>
  <si>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</si>
  <si>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</si>
  <si>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</si>
  <si>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</si>
  <si>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</si>
  <si>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</si>
  <si>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</si>
  <si>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</si>
  <si>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</si>
  <si>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</si>
  <si>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</si>
  <si>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</si>
  <si>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</si>
  <si>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</si>
  <si>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</si>
  <si>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</si>
  <si>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</si>
  <si>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</si>
  <si>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</si>
  <si>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</si>
  <si>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</si>
  <si>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</si>
  <si>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</si>
  <si>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</si>
  <si>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</si>
  <si>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</si>
  <si>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</si>
  <si>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</si>
  <si>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</si>
  <si>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</si>
  <si>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</si>
  <si>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</si>
  <si>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</si>
  <si>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</si>
  <si>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</si>
  <si>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</si>
  <si>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</si>
  <si>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</si>
  <si>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</si>
  <si>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</si>
  <si>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</si>
  <si>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</si>
  <si>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</si>
  <si>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</si>
  <si>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</si>
  <si>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</si>
  <si>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</si>
  <si>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</si>
  <si>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</si>
  <si>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</si>
  <si>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</si>
  <si>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</si>
  <si>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</si>
  <si>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</si>
  <si>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</si>
  <si>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</si>
  <si>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</si>
  <si>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</si>
  <si>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</si>
  <si>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</si>
  <si>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</si>
  <si>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</si>
  <si>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</si>
  <si>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</si>
  <si>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</si>
  <si>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</si>
  <si>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</si>
  <si>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</si>
  <si>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</si>
  <si>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</si>
  <si>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</si>
  <si>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</si>
  <si>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</si>
  <si>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</si>
  <si>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</si>
  <si>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</si>
  <si>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</si>
  <si>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</si>
  <si>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</si>
  <si>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</si>
  <si>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</si>
  <si>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</si>
  <si>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</si>
  <si>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</si>
  <si>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</si>
  <si>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</si>
  <si>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</si>
  <si>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</si>
  <si>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</si>
  <si>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</si>
  <si>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</si>
  <si>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</si>
  <si>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</si>
  <si>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</si>
  <si>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</si>
  <si>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</si>
  <si>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</si>
  <si>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</si>
  <si>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</si>
  <si>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</si>
  <si>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</si>
  <si>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</si>
  <si>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</si>
  <si>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</si>
  <si>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</si>
  <si>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</si>
  <si>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</si>
  <si>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</si>
  <si>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</si>
  <si>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</si>
  <si>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</si>
  <si>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</si>
  <si>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</si>
  <si>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</si>
  <si>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</si>
  <si>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</si>
  <si>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</si>
  <si>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</si>
  <si>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</si>
  <si>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</si>
  <si>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</si>
  <si>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</si>
  <si>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</si>
  <si>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</si>
  <si>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</si>
  <si>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</si>
  <si>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</si>
  <si>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</si>
  <si>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</si>
  <si>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</si>
  <si>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</si>
  <si>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</si>
  <si>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</si>
  <si>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</si>
  <si>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</si>
  <si>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</si>
  <si>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</si>
  <si>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</si>
  <si>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</si>
  <si>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</si>
  <si>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</si>
  <si>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</si>
  <si>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</si>
  <si>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</si>
  <si>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</si>
  <si>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</si>
  <si>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</si>
  <si>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</si>
  <si>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</si>
  <si>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</si>
  <si>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</si>
  <si>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</si>
  <si>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</si>
  <si>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</si>
  <si>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</si>
  <si>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</si>
  <si>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</si>
  <si>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</si>
  <si>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</si>
  <si>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</si>
  <si>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</si>
  <si>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</si>
  <si>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</si>
  <si>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</si>
  <si>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</si>
  <si>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</si>
  <si>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</si>
  <si>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</si>
  <si>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</si>
  <si>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</si>
  <si>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</si>
  <si>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</si>
  <si>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</si>
  <si>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</si>
  <si>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</si>
  <si>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</si>
  <si>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</si>
  <si>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</si>
  <si>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</si>
  <si>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</si>
  <si>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</si>
  <si>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</si>
  <si>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</si>
  <si>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</si>
  <si>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</si>
  <si>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</si>
  <si>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</si>
  <si>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</si>
  <si>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</si>
  <si>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</si>
  <si>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</si>
  <si>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</si>
  <si>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</si>
  <si>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</si>
  <si>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</si>
  <si>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</si>
  <si>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</si>
  <si>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</si>
  <si>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</si>
  <si>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</si>
  <si>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</si>
  <si>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</si>
  <si>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</si>
  <si>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</si>
  <si>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</si>
  <si>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</si>
  <si>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</si>
  <si>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</si>
  <si>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</si>
  <si>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</si>
  <si>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</si>
  <si>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</si>
  <si>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</si>
  <si>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</si>
  <si>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</si>
  <si>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</si>
  <si>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</si>
  <si>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</si>
  <si>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</si>
  <si>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</si>
  <si>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</si>
  <si>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</si>
  <si>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</si>
  <si>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</si>
  <si>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</si>
  <si>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</si>
  <si>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</si>
  <si>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</si>
  <si>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</si>
  <si>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</si>
  <si>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</si>
  <si>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</si>
  <si>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</si>
  <si>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</si>
  <si>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</si>
  <si>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</si>
  <si>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</si>
  <si>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</si>
  <si>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</si>
  <si>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</si>
  <si>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</si>
  <si>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</si>
  <si>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</si>
  <si>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</si>
  <si>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</si>
  <si>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</si>
  <si>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</si>
  <si>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</si>
  <si>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</si>
  <si>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</si>
  <si>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</si>
  <si>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</si>
  <si>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</si>
  <si>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</si>
  <si>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</si>
  <si>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</si>
  <si>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</si>
  <si>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</si>
  <si>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</si>
  <si>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</si>
  <si>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</si>
  <si>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</si>
  <si>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</si>
  <si>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</si>
  <si>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</si>
  <si>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</si>
  <si>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</si>
  <si>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</si>
  <si>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</si>
  <si>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</si>
  <si>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</si>
  <si>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</si>
  <si>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</si>
  <si>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</si>
  <si>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</si>
  <si>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</si>
  <si>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</si>
  <si>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</si>
  <si>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</si>
  <si>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</si>
  <si>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</si>
  <si>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</si>
  <si>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</si>
  <si>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</si>
  <si>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</si>
  <si>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</si>
  <si>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</si>
  <si>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</si>
  <si>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</si>
  <si>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</si>
  <si>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</si>
  <si>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</si>
  <si>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</si>
  <si>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</si>
  <si>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</si>
  <si>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</si>
  <si>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</si>
  <si>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</si>
  <si>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</si>
  <si>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</si>
  <si>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</si>
  <si>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</si>
  <si>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</si>
  <si>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</si>
  <si>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</si>
  <si>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</si>
  <si>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</si>
  <si>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</si>
  <si>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</si>
  <si>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</si>
  <si>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</si>
  <si>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</si>
  <si>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</si>
  <si>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</si>
  <si>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</si>
  <si>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</si>
  <si>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</si>
  <si>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</si>
  <si>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</si>
  <si>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</si>
  <si>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</si>
  <si>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</si>
  <si>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</si>
  <si>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</si>
  <si>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</si>
  <si>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</si>
  <si>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</si>
  <si>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</si>
  <si>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</si>
  <si>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</si>
  <si>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</si>
  <si>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</si>
  <si>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</si>
  <si>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</si>
  <si>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</si>
  <si>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</si>
  <si>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</si>
  <si>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</si>
  <si>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</si>
  <si>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</si>
  <si>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</si>
  <si>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</si>
  <si>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</si>
  <si>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</si>
  <si>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</si>
  <si>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</si>
  <si>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</si>
  <si>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</si>
  <si>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</si>
  <si>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</si>
  <si>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</si>
  <si>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</si>
  <si>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</si>
  <si>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</si>
  <si>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</si>
  <si>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</si>
  <si>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</si>
  <si>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</si>
  <si>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</si>
  <si>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</si>
  <si>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</si>
  <si>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</si>
  <si>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</si>
  <si>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</si>
  <si>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</si>
  <si>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</si>
  <si>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</si>
  <si>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</si>
  <si>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</si>
  <si>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</si>
  <si>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</si>
  <si>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</si>
  <si>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</si>
  <si>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</si>
  <si>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</si>
  <si>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</si>
  <si>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</si>
  <si>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</si>
  <si>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</si>
  <si>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</si>
  <si>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</si>
  <si>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</si>
  <si>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</si>
  <si>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</si>
  <si>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</si>
  <si>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</si>
  <si>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</si>
  <si>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</si>
  <si>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</si>
  <si>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</si>
  <si>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</si>
  <si>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</si>
  <si>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</si>
  <si>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</si>
  <si>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</si>
  <si>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</si>
  <si>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</si>
  <si>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</si>
  <si>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</si>
  <si>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</si>
  <si>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</si>
  <si>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</si>
  <si>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</si>
  <si>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</si>
  <si>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</si>
  <si>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</si>
  <si>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</si>
  <si>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</si>
  <si>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</si>
  <si>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</si>
  <si>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</si>
  <si>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</si>
  <si>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</si>
  <si>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</si>
  <si>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</si>
  <si>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</si>
  <si>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</si>
  <si>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</si>
  <si>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</si>
  <si>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</si>
  <si>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</si>
  <si>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</si>
  <si>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</si>
  <si>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</si>
  <si>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</si>
  <si>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</si>
  <si>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</si>
  <si>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</si>
  <si>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</si>
  <si>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</si>
  <si>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</si>
  <si>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</si>
  <si>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</si>
  <si>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</si>
  <si>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</si>
  <si>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</si>
  <si>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</si>
  <si>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</si>
  <si>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</si>
  <si>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</si>
  <si>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</si>
  <si>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</si>
  <si>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</si>
  <si>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</si>
  <si>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</si>
  <si>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</si>
  <si>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</si>
  <si>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</si>
  <si>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</si>
  <si>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</si>
  <si>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</si>
  <si>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</si>
  <si>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</si>
  <si>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</si>
  <si>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</si>
  <si>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</si>
  <si>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</si>
  <si>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</si>
  <si>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</si>
  <si>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</si>
  <si>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</si>
  <si>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</si>
  <si>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</si>
  <si>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</si>
  <si>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</si>
  <si>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</si>
  <si>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</si>
  <si>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</si>
  <si>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</si>
  <si>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</si>
  <si>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</si>
  <si>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</si>
  <si>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</si>
  <si>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</si>
  <si>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</si>
  <si>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</si>
  <si>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</si>
  <si>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</si>
  <si>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</si>
  <si>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</si>
  <si>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</si>
  <si>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</si>
  <si>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</si>
  <si>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</si>
  <si>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</si>
  <si>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</si>
  <si>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</si>
  <si>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</si>
  <si>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</si>
  <si>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</si>
  <si>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</si>
  <si>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</si>
  <si>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</si>
  <si>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</si>
  <si>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</si>
  <si>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</si>
  <si>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</si>
  <si>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</si>
  <si>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</si>
  <si>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</si>
  <si>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</si>
  <si>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</si>
  <si>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</si>
  <si>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</si>
  <si>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</si>
  <si>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</si>
  <si>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</si>
  <si>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</si>
  <si>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</si>
  <si>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</si>
  <si>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</si>
  <si>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</si>
  <si>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</si>
  <si>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</si>
  <si>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</si>
  <si>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</si>
  <si>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</si>
  <si>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</si>
  <si>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</si>
  <si>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</si>
  <si>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</si>
  <si>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</si>
  <si>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</si>
  <si>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</si>
  <si>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</si>
  <si>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</si>
  <si>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</si>
  <si>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</si>
  <si>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</si>
  <si>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</si>
  <si>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</si>
  <si>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</si>
  <si>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</si>
  <si>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</si>
  <si>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</si>
  <si>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</si>
  <si>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</si>
  <si>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</si>
  <si>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</si>
  <si>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</si>
  <si>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</si>
  <si>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</si>
  <si>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</si>
  <si>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</si>
  <si>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</si>
  <si>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</si>
  <si>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</si>
  <si>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</si>
  <si>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</si>
  <si>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</si>
  <si>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</si>
  <si>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</si>
  <si>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</si>
  <si>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</si>
  <si>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</si>
  <si>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</si>
  <si>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</si>
  <si>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</si>
  <si>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</si>
  <si>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</si>
  <si>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</si>
  <si>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</si>
  <si>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</si>
  <si>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</si>
  <si>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</si>
  <si>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</si>
  <si>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</si>
  <si>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</si>
  <si>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</si>
  <si>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</si>
  <si>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</si>
  <si>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</si>
  <si>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</si>
  <si>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</si>
  <si>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</si>
  <si>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</si>
  <si>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</si>
  <si>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</si>
  <si>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</si>
  <si>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</si>
  <si>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</si>
  <si>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</si>
  <si>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</si>
  <si>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</si>
  <si>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</si>
  <si>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</si>
  <si>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</si>
  <si>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</si>
  <si>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</si>
  <si>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</si>
  <si>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</si>
  <si>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</si>
  <si>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</si>
  <si>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</si>
  <si>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</si>
  <si>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</si>
  <si>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</si>
  <si>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</si>
  <si>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</si>
  <si>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</si>
  <si>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</si>
  <si>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</si>
  <si>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</si>
  <si>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</si>
  <si>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</si>
  <si>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</si>
  <si>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</si>
  <si>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</si>
  <si>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</si>
  <si>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</si>
  <si>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</si>
  <si>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</si>
  <si>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</si>
  <si>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</si>
  <si>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</si>
  <si>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</si>
  <si>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</si>
  <si>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</si>
  <si>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</si>
  <si>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</si>
  <si>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</si>
  <si>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</si>
  <si>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</si>
  <si>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</si>
  <si>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</si>
  <si>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</si>
  <si>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</si>
  <si>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</si>
  <si>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</si>
  <si>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</si>
  <si>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</si>
  <si>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</si>
  <si>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</si>
  <si>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</si>
  <si>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</si>
  <si>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</si>
  <si>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</si>
  <si>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</si>
  <si>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</si>
  <si>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</si>
  <si>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</si>
  <si>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</si>
  <si>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</si>
  <si>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</si>
  <si>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</si>
  <si>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</si>
  <si>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</si>
  <si>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</si>
  <si>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</si>
  <si>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</si>
  <si>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</si>
  <si>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</si>
  <si>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</si>
  <si>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</si>
  <si>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</si>
  <si>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</si>
  <si>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</si>
  <si>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</si>
  <si>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</si>
  <si>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</si>
  <si>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</si>
  <si>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</si>
  <si>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</si>
  <si>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</si>
  <si>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</si>
  <si>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</si>
  <si>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</si>
  <si>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</si>
  <si>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</si>
  <si>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</si>
  <si>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</si>
  <si>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</si>
  <si>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</si>
  <si>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</si>
  <si>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</si>
  <si>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</si>
  <si>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</si>
  <si>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</si>
  <si>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</si>
  <si>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</si>
  <si>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</si>
  <si>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</si>
  <si>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</si>
  <si>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</si>
  <si>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</si>
  <si>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</si>
  <si>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</si>
  <si>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</si>
  <si>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</si>
  <si>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</si>
  <si>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</si>
  <si>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</si>
  <si>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</si>
  <si>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</si>
  <si>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</si>
  <si>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</si>
  <si>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</si>
  <si>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</si>
  <si>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</si>
  <si>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</si>
  <si>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</si>
  <si>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</si>
  <si>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</si>
  <si>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</si>
  <si>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</si>
  <si>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</si>
  <si>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</si>
  <si>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</si>
  <si>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</si>
  <si>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</si>
  <si>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</si>
  <si>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</si>
  <si>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</si>
  <si>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</si>
  <si>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</si>
  <si>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</si>
  <si>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</si>
  <si>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</si>
  <si>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</si>
  <si>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</si>
  <si>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</si>
  <si>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</si>
  <si>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</si>
  <si>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</si>
  <si>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</si>
  <si>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</si>
  <si>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</si>
  <si>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</si>
  <si>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</si>
  <si>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</si>
  <si>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</si>
  <si>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</si>
  <si>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</si>
  <si>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</si>
  <si>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</si>
  <si>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</si>
  <si>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</si>
  <si>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</si>
  <si>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</si>
  <si>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</si>
  <si>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</si>
  <si>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</si>
  <si>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</si>
  <si>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</si>
  <si>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</si>
  <si>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</si>
  <si>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</si>
  <si>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</si>
  <si>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</si>
  <si>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</si>
  <si>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</si>
  <si>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</si>
  <si>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</si>
  <si>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</si>
  <si>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</si>
  <si>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</si>
  <si>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</si>
  <si>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</si>
  <si>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</si>
  <si>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</si>
  <si>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</si>
  <si>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</si>
  <si>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</si>
  <si>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</si>
  <si>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</si>
  <si>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</si>
  <si>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</si>
  <si>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</si>
  <si>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</si>
  <si>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</si>
  <si>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</si>
  <si>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</si>
  <si>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</si>
  <si>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</si>
  <si>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</si>
  <si>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</si>
  <si>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</si>
  <si>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</si>
  <si>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</si>
  <si>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</si>
  <si>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</si>
  <si>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</si>
  <si>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</si>
  <si>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</si>
  <si>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</si>
  <si>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</si>
  <si>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</si>
  <si>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</si>
  <si>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</si>
  <si>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</si>
  <si>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</si>
  <si>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</si>
  <si>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</si>
  <si>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</si>
  <si>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</si>
  <si>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</si>
  <si>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</si>
  <si>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</si>
  <si>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</si>
  <si>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</si>
  <si>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</si>
  <si>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</si>
  <si>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</si>
  <si>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</si>
  <si>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</si>
  <si>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</si>
  <si>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</si>
  <si>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</si>
  <si>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</si>
  <si>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</si>
  <si>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</si>
  <si>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</si>
  <si>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</si>
  <si>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</si>
  <si>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</si>
  <si>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</si>
  <si>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</si>
  <si>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</si>
  <si>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</si>
  <si>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</si>
  <si>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</si>
  <si>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</si>
  <si>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</si>
  <si>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</si>
  <si>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</si>
  <si>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</si>
  <si>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</si>
  <si>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</si>
  <si>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</si>
  <si>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</si>
  <si>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</si>
  <si>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</si>
  <si>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</si>
  <si>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</si>
  <si>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</si>
  <si>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</si>
  <si>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</si>
  <si>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</si>
  <si>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</si>
  <si>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</si>
  <si>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</si>
  <si>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</si>
  <si>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</si>
  <si>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</si>
  <si>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</si>
  <si>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</si>
  <si>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</si>
  <si>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</si>
  <si>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</si>
  <si>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</si>
  <si>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</si>
  <si>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</si>
  <si>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</si>
  <si>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</si>
  <si>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</si>
  <si>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</si>
  <si>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</si>
  <si>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</si>
  <si>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</si>
  <si>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</si>
  <si>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</si>
  <si>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</si>
  <si>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</si>
  <si>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</si>
  <si>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</si>
  <si>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</si>
  <si>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</si>
  <si>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</si>
  <si>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</si>
  <si>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</si>
  <si>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</si>
  <si>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</si>
  <si>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</si>
  <si>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</si>
  <si>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</si>
  <si>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</si>
  <si>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</si>
  <si>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</si>
  <si>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</si>
  <si>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</si>
  <si>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</si>
  <si>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</si>
  <si>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</si>
  <si>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</si>
  <si>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</si>
  <si>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</si>
  <si>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</si>
  <si>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</si>
  <si>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</si>
  <si>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</si>
  <si>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</si>
  <si>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</si>
  <si>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</si>
  <si>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</si>
  <si>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</si>
  <si>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</si>
  <si>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</si>
  <si>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</si>
  <si>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</si>
  <si>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</si>
  <si>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</si>
  <si>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</si>
  <si>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</si>
  <si>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</si>
  <si>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</si>
  <si>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</si>
  <si>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</si>
  <si>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</si>
  <si>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</si>
  <si>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</si>
  <si>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</si>
  <si>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</si>
  <si>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</si>
  <si>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</si>
  <si>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</si>
  <si>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</si>
  <si>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</si>
  <si>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</si>
  <si>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</si>
  <si>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</si>
  <si>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</si>
  <si>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</si>
  <si>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</si>
  <si>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</si>
  <si>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</si>
  <si>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</si>
  <si>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</si>
  <si>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</si>
  <si>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</si>
  <si>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</si>
  <si>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</si>
  <si>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</si>
  <si>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</si>
  <si>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</si>
  <si>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</si>
  <si>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</si>
  <si>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</si>
  <si>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</si>
  <si>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</si>
  <si>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</si>
  <si>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</si>
  <si>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</si>
  <si>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</si>
  <si>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</si>
  <si>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</si>
  <si>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</si>
  <si>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</si>
  <si>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</si>
  <si>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</si>
  <si>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</si>
  <si>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</si>
  <si>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</si>
  <si>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</si>
  <si>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</si>
  <si>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</si>
  <si>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</si>
  <si>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</si>
  <si>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</si>
  <si>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</si>
  <si>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</si>
  <si>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</si>
  <si>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</si>
  <si>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</si>
  <si>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</si>
  <si>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</si>
  <si>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</si>
  <si>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</si>
  <si>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</si>
  <si>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</si>
  <si>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</si>
  <si>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</si>
  <si>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</si>
  <si>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</si>
  <si>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</si>
  <si>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</si>
  <si>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</si>
  <si>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</si>
  <si>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</si>
  <si>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</si>
  <si>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</si>
  <si>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</si>
  <si>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</si>
  <si>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</si>
  <si>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</si>
  <si>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</si>
  <si>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</si>
  <si>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</si>
  <si>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</si>
  <si>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</si>
  <si>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</si>
  <si>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</si>
  <si>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</si>
  <si>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</si>
  <si>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</si>
  <si>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</si>
  <si>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</si>
  <si>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</si>
  <si>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</si>
  <si>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</si>
  <si>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</si>
  <si>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</si>
  <si>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</si>
  <si>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</si>
  <si>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</si>
  <si>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</si>
  <si>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</si>
  <si>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</si>
  <si>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</si>
  <si>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</si>
  <si>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</si>
  <si>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</si>
  <si>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</si>
  <si>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</si>
  <si>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</si>
  <si>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</si>
  <si>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</si>
  <si>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</si>
  <si>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</si>
  <si>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</si>
  <si>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</si>
  <si>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</si>
  <si>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</si>
  <si>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</si>
  <si>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</si>
  <si>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</si>
  <si>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</si>
  <si>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</si>
  <si>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</si>
  <si>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</si>
  <si>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</si>
  <si>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</si>
  <si>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</si>
  <si>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</si>
  <si>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</si>
  <si>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</si>
  <si>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</si>
  <si>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</si>
  <si>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</si>
  <si>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</si>
  <si>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</si>
  <si>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</si>
  <si>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</si>
  <si>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</si>
  <si>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</si>
  <si>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</si>
  <si>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</si>
  <si>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</si>
  <si>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</si>
  <si>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</si>
  <si>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</si>
  <si>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</si>
  <si>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</si>
  <si>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</si>
  <si>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</si>
  <si>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</si>
  <si>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</si>
  <si>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</si>
  <si>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</si>
  <si>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</si>
  <si>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</si>
  <si>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</si>
  <si>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</si>
  <si>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</si>
  <si>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</si>
  <si>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</si>
  <si>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</si>
  <si>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</si>
  <si>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</si>
  <si>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</si>
  <si>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</si>
  <si>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</si>
  <si>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</si>
  <si>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</si>
  <si>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</si>
  <si>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</si>
  <si>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</si>
  <si>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</si>
  <si>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</si>
  <si>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</si>
  <si>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</si>
  <si>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</si>
  <si>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</si>
  <si>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</si>
  <si>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</si>
  <si>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</si>
  <si>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</si>
  <si>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</si>
  <si>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</si>
  <si>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</si>
  <si>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</si>
  <si>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</si>
  <si>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</si>
  <si>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</si>
  <si>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</si>
  <si>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</si>
  <si>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</si>
  <si>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</si>
  <si>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</si>
  <si>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</si>
  <si>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</si>
  <si>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</si>
  <si>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</si>
  <si>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</si>
  <si>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</si>
  <si>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</si>
  <si>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</si>
  <si>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</si>
  <si>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</si>
  <si>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</si>
  <si>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</si>
  <si>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</si>
  <si>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</si>
  <si>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</si>
  <si>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</si>
  <si>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</si>
  <si>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</si>
  <si>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</si>
  <si>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</si>
  <si>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</si>
  <si>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</si>
  <si>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</si>
  <si>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</si>
  <si>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</si>
  <si>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</si>
  <si>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</si>
  <si>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</si>
  <si>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</si>
  <si>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</si>
  <si>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</si>
  <si>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</si>
  <si>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</si>
  <si>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</si>
  <si>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</si>
  <si>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</si>
  <si>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</si>
  <si>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</si>
  <si>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</si>
  <si>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</si>
  <si>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</si>
  <si>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</si>
  <si>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</si>
  <si>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</si>
  <si>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</si>
  <si>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</si>
  <si>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</si>
  <si>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</si>
  <si>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</si>
  <si>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</si>
  <si>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</si>
  <si>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</si>
  <si>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</si>
  <si>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</si>
  <si>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</si>
  <si>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</si>
  <si>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</si>
  <si>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</si>
  <si>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</si>
  <si>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</si>
  <si>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</si>
  <si>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</si>
  <si>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</si>
  <si>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</si>
  <si>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</si>
  <si>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</si>
  <si>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</si>
  <si>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</si>
  <si>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</si>
  <si>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</si>
  <si>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</si>
  <si>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</si>
  <si>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</si>
  <si>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</si>
  <si>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</si>
  <si>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</si>
  <si>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</si>
  <si>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</si>
  <si>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</si>
  <si>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</si>
  <si>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</si>
  <si>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</si>
  <si>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</si>
  <si>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</si>
  <si>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</si>
  <si>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</si>
  <si>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</si>
  <si>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</si>
  <si>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</si>
  <si>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</si>
  <si>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</si>
  <si>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</si>
  <si>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</si>
  <si>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</si>
  <si>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</si>
  <si>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</si>
  <si>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</si>
  <si>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</si>
  <si>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</si>
  <si>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</si>
  <si>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</si>
  <si>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</si>
  <si>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</si>
  <si>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</si>
  <si>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</si>
  <si>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</si>
  <si>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</si>
  <si>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</si>
  <si>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</si>
  <si>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</si>
  <si>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</si>
  <si>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</si>
  <si>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</si>
  <si>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</si>
  <si>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</si>
  <si>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</si>
  <si>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</si>
  <si>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</si>
  <si>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</si>
  <si>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</si>
  <si>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</si>
  <si>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</si>
  <si>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</si>
  <si>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</si>
  <si>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</si>
  <si>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</si>
  <si>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</si>
  <si>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</si>
  <si>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</si>
  <si>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</si>
  <si>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</si>
  <si>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</si>
  <si>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</si>
  <si>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</si>
  <si>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</si>
  <si>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</si>
  <si>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</si>
  <si>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</si>
  <si>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</si>
  <si>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</si>
  <si>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</si>
  <si>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</si>
  <si>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</si>
  <si>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</si>
  <si>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</si>
  <si>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</si>
  <si>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</si>
  <si>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</si>
  <si>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</si>
  <si>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</si>
  <si>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</si>
  <si>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</si>
  <si>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</si>
  <si>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</si>
  <si>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</si>
  <si>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</si>
  <si>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</si>
  <si>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</si>
  <si>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</si>
  <si>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</si>
  <si>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</si>
  <si>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</si>
  <si>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</si>
  <si>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</si>
  <si>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</si>
  <si>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</si>
  <si>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</si>
  <si>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</si>
  <si>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</si>
  <si>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</si>
  <si>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</si>
  <si>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</si>
  <si>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</si>
  <si>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</si>
  <si>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</si>
  <si>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</si>
  <si>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</si>
  <si>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</si>
  <si>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</si>
  <si>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</si>
  <si>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</si>
  <si>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</si>
  <si>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</si>
  <si>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</si>
  <si>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</si>
  <si>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</si>
  <si>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</si>
  <si>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</si>
  <si>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</si>
  <si>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</si>
  <si>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</si>
  <si>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</si>
  <si>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</si>
  <si>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</si>
  <si>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</si>
  <si>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</si>
  <si>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</si>
  <si>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</si>
  <si>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</si>
  <si>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</si>
  <si>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</si>
  <si>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</si>
  <si>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</si>
  <si>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</si>
  <si>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</si>
  <si>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</si>
  <si>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</si>
  <si>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</si>
  <si>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</si>
  <si>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</si>
  <si>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</si>
  <si>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</si>
  <si>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</si>
  <si>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</si>
  <si>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</si>
  <si>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</si>
  <si>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</si>
  <si>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</si>
  <si>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</si>
  <si>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</si>
  <si>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</si>
  <si>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</si>
  <si>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</si>
  <si>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</si>
  <si>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</si>
  <si>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</si>
  <si>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</si>
  <si>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</si>
  <si>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</si>
  <si>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</si>
  <si>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</si>
  <si>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</si>
  <si>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</si>
  <si>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</si>
  <si>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</si>
  <si>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</si>
  <si>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</si>
  <si>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</si>
  <si>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</si>
  <si>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</si>
  <si>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</si>
  <si>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</si>
  <si>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</si>
  <si>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</si>
  <si>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</si>
  <si>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</si>
  <si>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</si>
  <si>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</si>
  <si>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</si>
  <si>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</si>
  <si>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</si>
  <si>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</si>
  <si>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</si>
  <si>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</si>
  <si>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</si>
  <si>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</si>
  <si>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</si>
  <si>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</si>
  <si>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</si>
  <si>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</si>
  <si>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</si>
  <si>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</si>
  <si>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</si>
  <si>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</si>
  <si>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</si>
  <si>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</si>
  <si>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</si>
  <si>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</si>
  <si>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</si>
  <si>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</si>
  <si>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</si>
  <si>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</si>
  <si>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</si>
  <si>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</si>
  <si>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</si>
  <si>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</si>
  <si>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</si>
  <si>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</si>
  <si>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</si>
  <si>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</si>
  <si>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</si>
  <si>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</si>
  <si>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</si>
  <si>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</si>
  <si>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</si>
  <si>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</si>
  <si>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</si>
  <si>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</si>
  <si>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</si>
  <si>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</si>
  <si>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</si>
  <si>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</si>
  <si>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</si>
  <si>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</si>
  <si>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</si>
  <si>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</si>
  <si>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</si>
  <si>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</si>
  <si>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</si>
  <si>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</si>
  <si>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</si>
  <si>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</si>
  <si>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</si>
  <si>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</si>
  <si>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</si>
  <si>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</si>
  <si>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</si>
  <si>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</si>
  <si>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</si>
  <si>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</si>
  <si>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</si>
  <si>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</si>
  <si>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</si>
  <si>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</si>
  <si>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</si>
  <si>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</si>
  <si>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</si>
  <si>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</si>
  <si>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</si>
  <si>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</si>
  <si>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</si>
  <si>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</si>
  <si>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</si>
  <si>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</si>
  <si>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</si>
  <si>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</si>
  <si>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</si>
  <si>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</si>
  <si>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</si>
  <si>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</si>
  <si>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</si>
  <si>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</si>
  <si>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</si>
  <si>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</si>
  <si>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</si>
  <si>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</si>
  <si>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</si>
  <si>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</si>
  <si>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</si>
  <si>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</si>
  <si>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</si>
  <si>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</si>
  <si>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</si>
  <si>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</si>
  <si>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</si>
  <si>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</si>
  <si>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</si>
  <si>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</si>
  <si>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</si>
  <si>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</si>
  <si>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</si>
  <si>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</si>
  <si>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</si>
  <si>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</si>
  <si>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</si>
  <si>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</si>
  <si>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</si>
  <si>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</si>
  <si>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</si>
  <si>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</si>
  <si>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</si>
  <si>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</si>
  <si>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</si>
  <si>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</si>
  <si>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</si>
  <si>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</si>
  <si>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</si>
  <si>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</si>
  <si>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</si>
  <si>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</si>
  <si>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</si>
  <si>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</si>
  <si>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</si>
  <si>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</si>
  <si>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</si>
  <si>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</si>
  <si>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</si>
  <si>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</si>
  <si>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</si>
  <si>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</si>
  <si>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</si>
  <si>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</si>
  <si>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</si>
  <si>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</si>
  <si>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</si>
  <si>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</si>
  <si>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</si>
  <si>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</si>
  <si>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</si>
  <si>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</si>
  <si>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</si>
  <si>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</si>
  <si>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</si>
  <si>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</si>
  <si>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</si>
  <si>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</si>
  <si>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</si>
  <si>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</si>
  <si>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</si>
  <si>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</si>
  <si>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</si>
  <si>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</si>
  <si>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</si>
  <si>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</si>
  <si>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</si>
  <si>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</si>
  <si>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</si>
  <si>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</si>
  <si>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</si>
  <si>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</si>
  <si>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</si>
  <si>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</si>
  <si>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</si>
  <si>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</si>
  <si>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</si>
  <si>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</si>
  <si>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</si>
  <si>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</si>
  <si>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</si>
  <si>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</si>
  <si>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</si>
  <si>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</si>
  <si>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</si>
  <si>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</si>
  <si>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</si>
  <si>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</si>
  <si>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</si>
  <si>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</si>
  <si>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</si>
  <si>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</si>
  <si>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</si>
  <si>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</si>
  <si>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</si>
  <si>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</si>
  <si>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</si>
  <si>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</si>
  <si>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</si>
  <si>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</si>
  <si>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</si>
  <si>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</si>
  <si>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</si>
  <si>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</si>
  <si>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</si>
  <si>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</si>
  <si>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</si>
  <si>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</si>
  <si>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</si>
  <si>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</si>
  <si>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</si>
  <si>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</si>
  <si>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</si>
  <si>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</si>
  <si>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</si>
  <si>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</si>
  <si>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</si>
  <si>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</si>
  <si>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</si>
  <si>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</si>
  <si>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</si>
  <si>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</si>
  <si>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</si>
  <si>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</si>
  <si>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</si>
  <si>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</si>
  <si>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</si>
  <si>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</si>
  <si>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</si>
  <si>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</si>
  <si>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</si>
  <si>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</si>
  <si>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</si>
  <si>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</si>
  <si>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</si>
  <si>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</si>
  <si>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</si>
  <si>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</si>
  <si>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</si>
  <si>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</si>
  <si>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</si>
  <si>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</si>
  <si>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</si>
  <si>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</si>
  <si>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</si>
  <si>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</si>
  <si>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</si>
  <si>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</si>
  <si>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</si>
  <si>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</si>
  <si>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</si>
  <si>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</si>
  <si>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</si>
  <si>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</si>
  <si>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</si>
  <si>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</si>
  <si>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</si>
  <si>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</si>
  <si>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</si>
  <si>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</si>
  <si>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</si>
  <si>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</si>
  <si>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</si>
  <si>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</si>
  <si>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</si>
  <si>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</si>
  <si>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</si>
  <si>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</si>
  <si>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</si>
  <si>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</si>
  <si>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</si>
  <si>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</si>
  <si>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</si>
  <si>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</si>
  <si>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</si>
  <si>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</si>
  <si>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</si>
  <si>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</si>
  <si>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</si>
  <si>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</si>
  <si>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</si>
  <si>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</si>
  <si>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</si>
  <si>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</si>
  <si>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</si>
  <si>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</si>
  <si>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</si>
  <si>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</si>
  <si>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</si>
  <si>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</si>
  <si>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</si>
  <si>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</si>
  <si>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</si>
  <si>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</si>
  <si>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</si>
  <si>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</si>
  <si>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</si>
  <si>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</si>
  <si>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</si>
  <si>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</si>
  <si>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</si>
  <si>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</si>
  <si>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</si>
  <si>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</si>
  <si>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</si>
  <si>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</si>
  <si>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</si>
  <si>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</si>
  <si>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</si>
  <si>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</si>
  <si>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</si>
  <si>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</si>
  <si>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</si>
  <si>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</si>
  <si>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</si>
  <si>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</si>
  <si>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</si>
  <si>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</si>
  <si>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</si>
  <si>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</si>
  <si>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</si>
  <si>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</si>
  <si>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</si>
  <si>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</si>
  <si>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</si>
  <si>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</si>
  <si>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</si>
  <si>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</si>
  <si>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</si>
  <si>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</si>
  <si>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</si>
  <si>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</si>
  <si>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</si>
  <si>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</si>
  <si>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</si>
  <si>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</si>
  <si>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</si>
  <si>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</si>
  <si>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</si>
  <si>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</si>
  <si>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</si>
  <si>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</si>
  <si>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</si>
  <si>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</si>
  <si>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</si>
  <si>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</si>
  <si>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</si>
  <si>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</si>
  <si>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</si>
  <si>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</si>
  <si>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</si>
  <si>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</si>
  <si>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</si>
  <si>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</si>
  <si>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</si>
  <si>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</si>
  <si>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</si>
  <si>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</si>
  <si>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</si>
  <si>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</si>
  <si>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</si>
  <si>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</si>
  <si>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</si>
  <si>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</si>
  <si>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</si>
  <si>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</si>
  <si>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</si>
  <si>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</si>
  <si>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</si>
  <si>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</si>
  <si>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</si>
  <si>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</si>
  <si>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</si>
  <si>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</si>
  <si>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</si>
  <si>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</si>
  <si>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</si>
  <si>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</si>
  <si>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</si>
  <si>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</si>
  <si>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</si>
  <si>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</si>
  <si>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</si>
  <si>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</si>
  <si>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</si>
  <si>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</si>
  <si>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</si>
  <si>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</si>
  <si>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</si>
  <si>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</si>
  <si>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</si>
  <si>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</si>
  <si>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</si>
  <si>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</si>
  <si>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</si>
  <si>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</si>
  <si>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</si>
  <si>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</si>
  <si>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</si>
  <si>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</si>
  <si>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</si>
  <si>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</si>
  <si>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</si>
  <si>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</si>
  <si>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</si>
  <si>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</si>
  <si>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</si>
  <si>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</si>
  <si>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</si>
  <si>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</si>
  <si>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</si>
  <si>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</si>
  <si>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</si>
  <si>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</si>
  <si>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</si>
  <si>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</si>
  <si>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</si>
  <si>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</si>
  <si>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</si>
  <si>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</si>
  <si>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</si>
  <si>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</si>
  <si>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</si>
  <si>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</si>
  <si>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</si>
  <si>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</si>
  <si>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</si>
  <si>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</si>
  <si>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</si>
  <si>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</si>
  <si>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</si>
  <si>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</si>
  <si>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</si>
  <si>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</si>
  <si>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</si>
  <si>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</si>
  <si>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</si>
  <si>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</si>
  <si>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</si>
  <si>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</si>
  <si>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</si>
  <si>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</si>
  <si>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</si>
  <si>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</si>
  <si>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</si>
  <si>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</si>
  <si>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</si>
  <si>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</si>
  <si>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</si>
  <si>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</si>
  <si>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</si>
  <si>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</si>
  <si>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</si>
  <si>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</si>
  <si>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</si>
  <si>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</si>
  <si>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</si>
  <si>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</si>
  <si>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</si>
  <si>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</si>
  <si>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</si>
  <si>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</si>
  <si>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</si>
  <si>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</si>
  <si>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</si>
  <si>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</si>
  <si>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</si>
  <si>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</si>
  <si>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</si>
  <si>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</si>
  <si>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</si>
  <si>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</si>
  <si>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</si>
  <si>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</si>
  <si>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</si>
  <si>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</si>
  <si>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</si>
  <si>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</si>
  <si>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</si>
  <si>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</si>
  <si>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</si>
  <si>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</si>
  <si>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</si>
  <si>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</si>
  <si>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</si>
  <si>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</si>
  <si>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</si>
  <si>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</si>
  <si>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</si>
  <si>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</si>
  <si>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</si>
  <si>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</si>
  <si>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</si>
  <si>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链家成交</t>
  </si>
  <si>
    <t>序号</t>
  </si>
  <si>
    <t>建筑面积</t>
  </si>
  <si>
    <t>楼层</t>
  </si>
  <si>
    <t>成交价</t>
  </si>
  <si>
    <t>成交单价</t>
  </si>
  <si>
    <t>朝向</t>
  </si>
  <si>
    <t>装修</t>
  </si>
  <si>
    <t>成交日期</t>
  </si>
  <si>
    <t>1</t>
  </si>
  <si>
    <t>高楼层</t>
  </si>
  <si>
    <t>西南</t>
  </si>
  <si>
    <t>精装</t>
  </si>
  <si>
    <t>2</t>
  </si>
  <si>
    <t>中楼层</t>
  </si>
  <si>
    <t>3</t>
  </si>
  <si>
    <t>低楼层</t>
  </si>
  <si>
    <t>东北</t>
  </si>
  <si>
    <t>4</t>
  </si>
  <si>
    <t>5</t>
  </si>
  <si>
    <t>6</t>
  </si>
  <si>
    <t>7</t>
  </si>
  <si>
    <t>核定资产</t>
  </si>
  <si>
    <t>房地产市场价值</t>
  </si>
  <si>
    <t>北京市</t>
  </si>
  <si>
    <t>自然人</t>
  </si>
  <si>
    <t>2008</t>
    <phoneticPr fontId="6" type="noConversion"/>
  </si>
  <si>
    <t>2006</t>
    <phoneticPr fontId="6" type="noConversion"/>
  </si>
  <si>
    <t>251000</t>
    <phoneticPr fontId="134" type="noConversion"/>
  </si>
  <si>
    <t>46211</t>
    <phoneticPr fontId="134" type="noConversion"/>
  </si>
  <si>
    <t>是</t>
  </si>
  <si>
    <t>地上</t>
  </si>
  <si>
    <t>公寓</t>
  </si>
  <si>
    <t>公寓式酒店</t>
  </si>
  <si>
    <t>公寓式酒店</t>
    <phoneticPr fontId="7" type="noConversion"/>
  </si>
  <si>
    <t>利息：取LPR加浮动点数</t>
  </si>
  <si>
    <t>成新度</t>
  </si>
  <si>
    <t>收益法 (元)</t>
  </si>
  <si>
    <t>自定义</t>
  </si>
  <si>
    <t>钢混</t>
  </si>
  <si>
    <t>非生产用房</t>
  </si>
  <si>
    <t>不临65条商业街</t>
  </si>
  <si>
    <t>与级别开发程度不一致</t>
  </si>
  <si>
    <t>通路</t>
  </si>
  <si>
    <t>通电</t>
  </si>
  <si>
    <t>通讯</t>
  </si>
  <si>
    <t>通上水</t>
  </si>
  <si>
    <t>通下水</t>
  </si>
  <si>
    <t>通热</t>
  </si>
  <si>
    <t>平整</t>
  </si>
  <si>
    <t>已包含在土地取得成本中</t>
  </si>
  <si>
    <t>未包含在土地购买价格中</t>
  </si>
  <si>
    <t>售价</t>
  </si>
  <si>
    <t>低楼层</t>
    <phoneticPr fontId="30" type="noConversion"/>
  </si>
  <si>
    <t>中楼层</t>
    <phoneticPr fontId="30" type="noConversion"/>
  </si>
  <si>
    <t>高楼层</t>
    <phoneticPr fontId="30" type="noConversion"/>
  </si>
  <si>
    <t>精装修</t>
  </si>
  <si>
    <t>精装修</t>
    <phoneticPr fontId="30" type="noConversion"/>
  </si>
  <si>
    <t>普通装修</t>
    <phoneticPr fontId="30" type="noConversion"/>
  </si>
  <si>
    <t>成本法 (元)</t>
  </si>
  <si>
    <t>比较法-商业</t>
  </si>
  <si>
    <t>80</t>
    <phoneticPr fontId="134" type="noConversion"/>
  </si>
  <si>
    <t>270</t>
    <phoneticPr fontId="134" type="noConversion"/>
  </si>
  <si>
    <t>69</t>
    <phoneticPr fontId="134" type="noConversion"/>
  </si>
  <si>
    <t>240</t>
    <phoneticPr fontId="134" type="noConversion"/>
  </si>
  <si>
    <t>较好</t>
  </si>
  <si>
    <t>好</t>
  </si>
  <si>
    <t>一般</t>
  </si>
  <si>
    <t>朝向</t>
    <phoneticPr fontId="30" type="noConversion"/>
  </si>
  <si>
    <t>东北</t>
    <phoneticPr fontId="30" type="noConversion"/>
  </si>
  <si>
    <t>西南</t>
    <phoneticPr fontId="30" type="noConversion"/>
  </si>
  <si>
    <t>公寓式酒店</t>
    <phoneticPr fontId="30" type="noConversion"/>
  </si>
  <si>
    <t>钢混</t>
    <phoneticPr fontId="30" type="noConversion"/>
  </si>
  <si>
    <t>七通</t>
  </si>
  <si>
    <t>七通</t>
    <phoneticPr fontId="30" type="noConversion"/>
  </si>
  <si>
    <t>正常</t>
  </si>
  <si>
    <t>估价方法</t>
  </si>
  <si>
    <t>单套模式</t>
  </si>
  <si>
    <t>2022-9</t>
    <phoneticPr fontId="134" type="noConversion"/>
  </si>
  <si>
    <t>51234</t>
    <phoneticPr fontId="134" type="noConversion"/>
  </si>
  <si>
    <t>2022-11</t>
    <phoneticPr fontId="134" type="noConversion"/>
  </si>
  <si>
    <t>34211</t>
    <phoneticPr fontId="134" type="noConversion"/>
  </si>
  <si>
    <t>25456</t>
    <phoneticPr fontId="134" type="noConversion"/>
  </si>
  <si>
    <t>2023-11</t>
    <phoneticPr fontId="134" type="noConversion"/>
  </si>
  <si>
    <t>楼层修正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</si>
</sst>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name val="宋体"/>
      <family val="3"/>
      <charset val="134"/>
      <scheme val="minor"/>
    </font>
    <font>
      <sz val="10"/>
      <color theme="9" tint="0.59999389629810485"/>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49" fontId="95" fillId="0" borderId="0" xfId="10" applyNumberFormat="1">
      <alignment vertical="center"/>
    </xf>
    <xf numFmtId="49" fontId="95" fillId="0" borderId="1" xfId="10" applyNumberFormat="1" applyBorder="1">
      <alignment vertical="center"/>
    </xf>
    <xf numFmtId="0" fontId="95" fillId="0" borderId="1" xfId="10" applyBorder="1" applyAlignment="1">
      <alignment horizontal="left" vertical="center"/>
    </xf>
    <xf numFmtId="0" fontId="95" fillId="0" borderId="1" xfId="10" applyBorder="1">
      <alignment vertical="center"/>
    </xf>
    <xf numFmtId="179" fontId="95" fillId="0" borderId="1" xfId="10" applyNumberFormat="1" applyBorder="1">
      <alignment vertical="center"/>
    </xf>
    <xf numFmtId="183" fontId="95" fillId="0" borderId="1" xfId="10" applyNumberFormat="1" applyBorder="1">
      <alignment vertical="center"/>
    </xf>
    <xf numFmtId="0" fontId="95" fillId="0" borderId="0" xfId="10">
      <alignment vertical="center"/>
    </xf>
    <xf numFmtId="179" fontId="95" fillId="0" borderId="0" xfId="10" applyNumberFormat="1">
      <alignment vertical="center"/>
    </xf>
    <xf numFmtId="183" fontId="95" fillId="0" borderId="0" xfId="10" applyNumberFormat="1">
      <alignment vertical="center"/>
    </xf>
    <xf numFmtId="49" fontId="44" fillId="0" borderId="49" xfId="0" applyNumberFormat="1" applyFont="1" applyBorder="1" applyAlignment="1" applyProtection="1">
      <alignment horizontal="center" vertical="center"/>
      <protection locked="0"/>
    </xf>
    <xf numFmtId="49" fontId="269" fillId="5" borderId="1" xfId="10" applyNumberFormat="1" applyFont="1" applyFill="1" applyBorder="1">
      <alignment vertical="center"/>
    </xf>
    <xf numFmtId="0" fontId="269" fillId="5" borderId="1" xfId="10" applyFont="1" applyFill="1" applyBorder="1" applyAlignment="1">
      <alignment horizontal="left" vertical="center"/>
    </xf>
    <xf numFmtId="0" fontId="269" fillId="5" borderId="1" xfId="10" applyFont="1" applyFill="1" applyBorder="1">
      <alignment vertical="center"/>
    </xf>
    <xf numFmtId="179" fontId="269" fillId="5" borderId="1" xfId="10" applyNumberFormat="1" applyFont="1" applyFill="1" applyBorder="1">
      <alignment vertical="center"/>
    </xf>
    <xf numFmtId="183" fontId="269" fillId="5" borderId="1" xfId="10" applyNumberFormat="1" applyFont="1" applyFill="1" applyBorder="1">
      <alignment vertical="center"/>
    </xf>
    <xf numFmtId="49" fontId="270" fillId="0" borderId="1" xfId="10" applyNumberFormat="1" applyFont="1" applyBorder="1">
      <alignment vertical="center"/>
    </xf>
    <xf numFmtId="0" fontId="270" fillId="0" borderId="1" xfId="10" applyFont="1" applyBorder="1" applyAlignment="1">
      <alignment horizontal="left" vertical="center"/>
    </xf>
    <xf numFmtId="0" fontId="270" fillId="0" borderId="1" xfId="10" applyFont="1" applyBorder="1">
      <alignment vertical="center"/>
    </xf>
    <xf numFmtId="179" fontId="270" fillId="0" borderId="1" xfId="10" applyNumberFormat="1" applyFont="1" applyBorder="1">
      <alignment vertical="center"/>
    </xf>
    <xf numFmtId="183" fontId="270" fillId="0" borderId="1" xfId="10" applyNumberFormat="1" applyFont="1" applyBorder="1">
      <alignment vertical="center"/>
    </xf>
    <xf numFmtId="189" fontId="44" fillId="6" borderId="9" xfId="0" applyNumberFormat="1"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5" fillId="0" borderId="0" xfId="10" applyNumberFormat="1">
      <alignment vertical="center"/>
    </xf>
    <xf numFmtId="195" fontId="251" fillId="6" borderId="1" xfId="3" applyNumberFormat="1" applyFont="1" applyFill="1" applyBorder="1" applyAlignment="1">
      <alignment horizontal="left" vertical="center"/>
    </xf>
    <xf numFmtId="195" fontId="251" fillId="6" borderId="24" xfId="3" applyNumberFormat="1" applyFont="1" applyFill="1" applyBorder="1" applyAlignment="1">
      <alignment horizontal="left" vertical="center"/>
    </xf>
    <xf numFmtId="0" fontId="99" fillId="5" borderId="1" xfId="8" applyFont="1" applyFill="1" applyBorder="1" applyAlignment="1">
      <alignment horizontal="center" vertical="center"/>
    </xf>
    <xf numFmtId="0" fontId="271" fillId="5" borderId="1" xfId="8" applyFont="1" applyFill="1" applyBorder="1" applyAlignment="1">
      <alignment horizontal="left" vertical="center"/>
    </xf>
    <xf numFmtId="0" fontId="271" fillId="5" borderId="1" xfId="8" applyFont="1" applyFill="1" applyBorder="1" applyAlignment="1">
      <alignment horizontal="left" vertical="center" wrapText="1"/>
    </xf>
    <xf numFmtId="0" fontId="50" fillId="15" borderId="9" xfId="0" applyFont="1" applyFill="1" applyBorder="1" applyAlignment="1" applyProtection="1">
      <alignment horizontal="left"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3">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120564</xdr:rowOff>
    </xdr:from>
    <xdr:to>
      <xdr:col>9</xdr:col>
      <xdr:colOff>371475</xdr:colOff>
      <xdr:row>44</xdr:row>
      <xdr:rowOff>66675</xdr:rowOff>
    </xdr:to>
    <xdr:pic>
      <xdr:nvPicPr>
        <xdr:cNvPr id="2" name="图片 1">
          <a:extLst>
            <a:ext uri="{FF2B5EF4-FFF2-40B4-BE49-F238E27FC236}">
              <a16:creationId xmlns:a16="http://schemas.microsoft.com/office/drawing/2014/main" xmlns="" id="{EA299FD4-4F9D-4722-83FF-5DEE427A1FA4}"/>
            </a:ext>
          </a:extLst>
        </xdr:cNvPr>
        <xdr:cNvPicPr>
          <a:picLocks noChangeAspect="1"/>
        </xdr:cNvPicPr>
      </xdr:nvPicPr>
      <xdr:blipFill>
        <a:blip xmlns:r="http://schemas.openxmlformats.org/officeDocument/2006/relationships" r:embed="rId1"/>
        <a:stretch>
          <a:fillRect/>
        </a:stretch>
      </xdr:blipFill>
      <xdr:spPr>
        <a:xfrm>
          <a:off x="0" y="2349414"/>
          <a:ext cx="6677025" cy="5261061"/>
        </a:xfrm>
        <a:prstGeom prst="rect">
          <a:avLst/>
        </a:prstGeom>
        <a:noFill/>
        <a:ln w="9525">
          <a:noFill/>
        </a:ln>
      </xdr:spPr>
    </xdr:pic>
    <xdr:clientData/>
  </xdr:twoCellAnchor>
  <xdr:twoCellAnchor editAs="oneCell">
    <xdr:from>
      <xdr:col>0</xdr:col>
      <xdr:colOff>0</xdr:colOff>
      <xdr:row>42</xdr:row>
      <xdr:rowOff>114299</xdr:rowOff>
    </xdr:from>
    <xdr:to>
      <xdr:col>9</xdr:col>
      <xdr:colOff>489854</xdr:colOff>
      <xdr:row>73</xdr:row>
      <xdr:rowOff>141604</xdr:rowOff>
    </xdr:to>
    <xdr:pic>
      <xdr:nvPicPr>
        <xdr:cNvPr id="3" name="图片 2">
          <a:extLst>
            <a:ext uri="{FF2B5EF4-FFF2-40B4-BE49-F238E27FC236}">
              <a16:creationId xmlns:a16="http://schemas.microsoft.com/office/drawing/2014/main" xmlns="" id="{31D597A7-DF90-4BF3-9619-723709F8BB9C}"/>
            </a:ext>
          </a:extLst>
        </xdr:cNvPr>
        <xdr:cNvPicPr>
          <a:picLocks noChangeAspect="1"/>
        </xdr:cNvPicPr>
      </xdr:nvPicPr>
      <xdr:blipFill>
        <a:blip xmlns:r="http://schemas.openxmlformats.org/officeDocument/2006/relationships" r:embed="rId2"/>
        <a:stretch>
          <a:fillRect/>
        </a:stretch>
      </xdr:blipFill>
      <xdr:spPr>
        <a:xfrm>
          <a:off x="0" y="7315199"/>
          <a:ext cx="6795404" cy="5342255"/>
        </a:xfrm>
        <a:prstGeom prst="rect">
          <a:avLst/>
        </a:prstGeom>
        <a:noFill/>
        <a:ln w="9525">
          <a:noFill/>
        </a:ln>
      </xdr:spPr>
    </xdr:pic>
    <xdr:clientData/>
  </xdr:twoCellAnchor>
  <xdr:twoCellAnchor editAs="oneCell">
    <xdr:from>
      <xdr:col>1</xdr:col>
      <xdr:colOff>45085</xdr:colOff>
      <xdr:row>115</xdr:row>
      <xdr:rowOff>15240</xdr:rowOff>
    </xdr:from>
    <xdr:to>
      <xdr:col>16</xdr:col>
      <xdr:colOff>150458</xdr:colOff>
      <xdr:row>131</xdr:row>
      <xdr:rowOff>96520</xdr:rowOff>
    </xdr:to>
    <xdr:pic>
      <xdr:nvPicPr>
        <xdr:cNvPr id="4" name="图片 3">
          <a:extLst>
            <a:ext uri="{FF2B5EF4-FFF2-40B4-BE49-F238E27FC236}">
              <a16:creationId xmlns:a16="http://schemas.microsoft.com/office/drawing/2014/main" xmlns="" id="{EAAC5BA0-D6A9-4C68-82F3-6BD5D724D046}"/>
            </a:ext>
          </a:extLst>
        </xdr:cNvPr>
        <xdr:cNvPicPr>
          <a:picLocks noChangeAspect="1"/>
        </xdr:cNvPicPr>
      </xdr:nvPicPr>
      <xdr:blipFill>
        <a:blip xmlns:r="http://schemas.openxmlformats.org/officeDocument/2006/relationships" r:embed="rId3"/>
        <a:stretch>
          <a:fillRect/>
        </a:stretch>
      </xdr:blipFill>
      <xdr:spPr>
        <a:xfrm>
          <a:off x="730885" y="19731990"/>
          <a:ext cx="11930380" cy="2824480"/>
        </a:xfrm>
        <a:prstGeom prst="rect">
          <a:avLst/>
        </a:prstGeom>
        <a:noFill/>
        <a:ln w="9525">
          <a:noFill/>
        </a:ln>
      </xdr:spPr>
    </xdr:pic>
    <xdr:clientData/>
  </xdr:twoCellAnchor>
  <xdr:twoCellAnchor editAs="oneCell">
    <xdr:from>
      <xdr:col>1</xdr:col>
      <xdr:colOff>0</xdr:colOff>
      <xdr:row>134</xdr:row>
      <xdr:rowOff>0</xdr:rowOff>
    </xdr:from>
    <xdr:to>
      <xdr:col>12</xdr:col>
      <xdr:colOff>509868</xdr:colOff>
      <xdr:row>144</xdr:row>
      <xdr:rowOff>85725</xdr:rowOff>
    </xdr:to>
    <xdr:pic>
      <xdr:nvPicPr>
        <xdr:cNvPr id="5" name="图片 4">
          <a:extLst>
            <a:ext uri="{FF2B5EF4-FFF2-40B4-BE49-F238E27FC236}">
              <a16:creationId xmlns:a16="http://schemas.microsoft.com/office/drawing/2014/main" xmlns="" id="{6ED50FA6-6781-4C5A-9ECC-07683E96EB5A}"/>
            </a:ext>
          </a:extLst>
        </xdr:cNvPr>
        <xdr:cNvPicPr>
          <a:picLocks noChangeAspect="1"/>
        </xdr:cNvPicPr>
      </xdr:nvPicPr>
      <xdr:blipFill>
        <a:blip xmlns:r="http://schemas.openxmlformats.org/officeDocument/2006/relationships" r:embed="rId4"/>
        <a:stretch>
          <a:fillRect/>
        </a:stretch>
      </xdr:blipFill>
      <xdr:spPr>
        <a:xfrm>
          <a:off x="685800" y="22974300"/>
          <a:ext cx="9315450" cy="1800225"/>
        </a:xfrm>
        <a:prstGeom prst="rect">
          <a:avLst/>
        </a:prstGeom>
        <a:noFill/>
        <a:ln w="9525">
          <a:noFill/>
        </a:ln>
      </xdr:spPr>
    </xdr:pic>
    <xdr:clientData/>
  </xdr:twoCellAnchor>
  <xdr:twoCellAnchor editAs="oneCell">
    <xdr:from>
      <xdr:col>1</xdr:col>
      <xdr:colOff>0</xdr:colOff>
      <xdr:row>146</xdr:row>
      <xdr:rowOff>0</xdr:rowOff>
    </xdr:from>
    <xdr:to>
      <xdr:col>12</xdr:col>
      <xdr:colOff>576543</xdr:colOff>
      <xdr:row>156</xdr:row>
      <xdr:rowOff>47625</xdr:rowOff>
    </xdr:to>
    <xdr:pic>
      <xdr:nvPicPr>
        <xdr:cNvPr id="6" name="图片 5">
          <a:extLst>
            <a:ext uri="{FF2B5EF4-FFF2-40B4-BE49-F238E27FC236}">
              <a16:creationId xmlns:a16="http://schemas.microsoft.com/office/drawing/2014/main" xmlns="" id="{10A595E4-92E1-44B4-A911-C19E98D371F9}"/>
            </a:ext>
          </a:extLst>
        </xdr:cNvPr>
        <xdr:cNvPicPr>
          <a:picLocks noChangeAspect="1"/>
        </xdr:cNvPicPr>
      </xdr:nvPicPr>
      <xdr:blipFill>
        <a:blip xmlns:r="http://schemas.openxmlformats.org/officeDocument/2006/relationships" r:embed="rId5"/>
        <a:stretch>
          <a:fillRect/>
        </a:stretch>
      </xdr:blipFill>
      <xdr:spPr>
        <a:xfrm>
          <a:off x="685800" y="25031700"/>
          <a:ext cx="9382125" cy="1762125"/>
        </a:xfrm>
        <a:prstGeom prst="rect">
          <a:avLst/>
        </a:prstGeom>
        <a:noFill/>
        <a:ln w="9525">
          <a:noFill/>
        </a:ln>
      </xdr:spPr>
    </xdr:pic>
    <xdr:clientData/>
  </xdr:twoCellAnchor>
  <xdr:twoCellAnchor editAs="oneCell">
    <xdr:from>
      <xdr:col>1</xdr:col>
      <xdr:colOff>0</xdr:colOff>
      <xdr:row>157</xdr:row>
      <xdr:rowOff>81280</xdr:rowOff>
    </xdr:from>
    <xdr:to>
      <xdr:col>13</xdr:col>
      <xdr:colOff>55208</xdr:colOff>
      <xdr:row>167</xdr:row>
      <xdr:rowOff>93345</xdr:rowOff>
    </xdr:to>
    <xdr:pic>
      <xdr:nvPicPr>
        <xdr:cNvPr id="7" name="图片 6">
          <a:extLst>
            <a:ext uri="{FF2B5EF4-FFF2-40B4-BE49-F238E27FC236}">
              <a16:creationId xmlns:a16="http://schemas.microsoft.com/office/drawing/2014/main" xmlns="" id="{17B3FC6A-6209-49D8-A8D3-011AE5AE0674}"/>
            </a:ext>
          </a:extLst>
        </xdr:cNvPr>
        <xdr:cNvPicPr>
          <a:picLocks noChangeAspect="1"/>
        </xdr:cNvPicPr>
      </xdr:nvPicPr>
      <xdr:blipFill>
        <a:blip xmlns:r="http://schemas.openxmlformats.org/officeDocument/2006/relationships" r:embed="rId6"/>
        <a:stretch>
          <a:fillRect/>
        </a:stretch>
      </xdr:blipFill>
      <xdr:spPr>
        <a:xfrm>
          <a:off x="685800" y="26998930"/>
          <a:ext cx="9546590" cy="1726565"/>
        </a:xfrm>
        <a:prstGeom prst="rect">
          <a:avLst/>
        </a:prstGeom>
        <a:noFill/>
        <a:ln w="9525">
          <a:noFill/>
        </a:ln>
      </xdr:spPr>
    </xdr:pic>
    <xdr:clientData/>
  </xdr:twoCellAnchor>
  <xdr:twoCellAnchor editAs="oneCell">
    <xdr:from>
      <xdr:col>9</xdr:col>
      <xdr:colOff>495300</xdr:colOff>
      <xdr:row>14</xdr:row>
      <xdr:rowOff>22071</xdr:rowOff>
    </xdr:from>
    <xdr:to>
      <xdr:col>14</xdr:col>
      <xdr:colOff>189818</xdr:colOff>
      <xdr:row>29</xdr:row>
      <xdr:rowOff>129492</xdr:rowOff>
    </xdr:to>
    <xdr:pic>
      <xdr:nvPicPr>
        <xdr:cNvPr id="8" name="图片 7">
          <a:extLst>
            <a:ext uri="{FF2B5EF4-FFF2-40B4-BE49-F238E27FC236}">
              <a16:creationId xmlns:a16="http://schemas.microsoft.com/office/drawing/2014/main" xmlns="" id="{4C2BF740-2265-B598-0365-E9E840E08328}"/>
            </a:ext>
          </a:extLst>
        </xdr:cNvPr>
        <xdr:cNvPicPr>
          <a:picLocks noChangeAspect="1"/>
        </xdr:cNvPicPr>
      </xdr:nvPicPr>
      <xdr:blipFill>
        <a:blip xmlns:r="http://schemas.openxmlformats.org/officeDocument/2006/relationships" r:embed="rId7"/>
        <a:stretch>
          <a:fillRect/>
        </a:stretch>
      </xdr:blipFill>
      <xdr:spPr>
        <a:xfrm>
          <a:off x="6800850" y="2422371"/>
          <a:ext cx="3637868" cy="2679171"/>
        </a:xfrm>
        <a:prstGeom prst="rect">
          <a:avLst/>
        </a:prstGeom>
      </xdr:spPr>
    </xdr:pic>
    <xdr:clientData/>
  </xdr:twoCellAnchor>
  <xdr:twoCellAnchor editAs="oneCell">
    <xdr:from>
      <xdr:col>16</xdr:col>
      <xdr:colOff>549087</xdr:colOff>
      <xdr:row>44</xdr:row>
      <xdr:rowOff>1</xdr:rowOff>
    </xdr:from>
    <xdr:to>
      <xdr:col>30</xdr:col>
      <xdr:colOff>445930</xdr:colOff>
      <xdr:row>52</xdr:row>
      <xdr:rowOff>26724</xdr:rowOff>
    </xdr:to>
    <xdr:pic>
      <xdr:nvPicPr>
        <xdr:cNvPr id="9" name="图片 8">
          <a:extLst>
            <a:ext uri="{FF2B5EF4-FFF2-40B4-BE49-F238E27FC236}">
              <a16:creationId xmlns:a16="http://schemas.microsoft.com/office/drawing/2014/main" xmlns="" id="{ABEEC34F-67CE-C119-2AC9-7051DBE61758}"/>
            </a:ext>
          </a:extLst>
        </xdr:cNvPr>
        <xdr:cNvPicPr>
          <a:picLocks noChangeAspect="1"/>
        </xdr:cNvPicPr>
      </xdr:nvPicPr>
      <xdr:blipFill>
        <a:blip xmlns:r="http://schemas.openxmlformats.org/officeDocument/2006/relationships" r:embed="rId8"/>
        <a:stretch>
          <a:fillRect/>
        </a:stretch>
      </xdr:blipFill>
      <xdr:spPr>
        <a:xfrm>
          <a:off x="11990293" y="7395883"/>
          <a:ext cx="9466667" cy="1371429"/>
        </a:xfrm>
        <a:prstGeom prst="rect">
          <a:avLst/>
        </a:prstGeom>
      </xdr:spPr>
    </xdr:pic>
    <xdr:clientData/>
  </xdr:twoCellAnchor>
  <xdr:twoCellAnchor editAs="oneCell">
    <xdr:from>
      <xdr:col>14</xdr:col>
      <xdr:colOff>561975</xdr:colOff>
      <xdr:row>0</xdr:row>
      <xdr:rowOff>0</xdr:rowOff>
    </xdr:from>
    <xdr:to>
      <xdr:col>29</xdr:col>
      <xdr:colOff>331945</xdr:colOff>
      <xdr:row>16</xdr:row>
      <xdr:rowOff>120650</xdr:rowOff>
    </xdr:to>
    <xdr:pic>
      <xdr:nvPicPr>
        <xdr:cNvPr id="10" name="图片 9">
          <a:extLst>
            <a:ext uri="{FF2B5EF4-FFF2-40B4-BE49-F238E27FC236}">
              <a16:creationId xmlns:a16="http://schemas.microsoft.com/office/drawing/2014/main" xmlns="" id="{08229291-A645-307C-58D7-61DD9B117E9A}"/>
            </a:ext>
          </a:extLst>
        </xdr:cNvPr>
        <xdr:cNvPicPr>
          <a:picLocks noChangeAspect="1"/>
        </xdr:cNvPicPr>
      </xdr:nvPicPr>
      <xdr:blipFill>
        <a:blip xmlns:r="http://schemas.openxmlformats.org/officeDocument/2006/relationships" r:embed="rId9"/>
        <a:stretch>
          <a:fillRect/>
        </a:stretch>
      </xdr:blipFill>
      <xdr:spPr>
        <a:xfrm>
          <a:off x="10810875" y="0"/>
          <a:ext cx="10056970" cy="286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26041;&#2465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酒店模型"/>
      <sheetName val="典型户型修正"/>
      <sheetName val="比较法-住宅"/>
      <sheetName val="比较法-商业售价"/>
      <sheetName val="比较法-商业租金"/>
      <sheetName val="比较法-办公"/>
      <sheetName val="收益法"/>
      <sheetName val="比较法-办公租金"/>
      <sheetName val="Sheet1"/>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B3" t="str">
            <v>成本法 (分)</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B4" t="str">
            <v>成本法 (元)</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假设开发法</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 (元)</v>
          </cell>
          <cell r="C7" t="str">
            <v>六级</v>
          </cell>
          <cell r="H7" t="str">
            <v>工业</v>
          </cell>
          <cell r="I7" t="str">
            <v>10-20（含）</v>
          </cell>
        </row>
        <row r="8">
          <cell r="B8" t="str">
            <v>收益法（汇总）</v>
          </cell>
          <cell r="C8" t="str">
            <v>七级</v>
          </cell>
          <cell r="H8" t="str">
            <v>公共配套</v>
          </cell>
          <cell r="I8" t="str">
            <v>0-10（含）</v>
          </cell>
        </row>
        <row r="9">
          <cell r="B9" t="str">
            <v>比较法-住宅</v>
          </cell>
          <cell r="C9" t="str">
            <v>八级</v>
          </cell>
          <cell r="H9" t="str">
            <v>设备及其他</v>
          </cell>
        </row>
        <row r="10">
          <cell r="B10" t="str">
            <v>比较法-商业</v>
          </cell>
          <cell r="C10" t="str">
            <v>九级</v>
          </cell>
        </row>
        <row r="11">
          <cell r="B11" t="str">
            <v>比较法-办公</v>
          </cell>
          <cell r="C11" t="str">
            <v>十级</v>
          </cell>
        </row>
        <row r="12">
          <cell r="B12" t="str">
            <v>比较法-工业</v>
          </cell>
          <cell r="C12" t="str">
            <v>十一级</v>
          </cell>
        </row>
        <row r="13">
          <cell r="B13" t="str">
            <v>比较法-车位</v>
          </cell>
          <cell r="C13" t="str">
            <v>十二级</v>
          </cell>
        </row>
        <row r="14">
          <cell r="B14" t="str">
            <v>比较法-仓储</v>
          </cell>
        </row>
        <row r="15">
          <cell r="B15" t="str">
            <v>土地比较法-住宅、综合</v>
          </cell>
        </row>
        <row r="16">
          <cell r="B16" t="str">
            <v>土地比较法-工业</v>
          </cell>
        </row>
        <row r="17">
          <cell r="B17" t="str">
            <v>基准地价修正</v>
          </cell>
        </row>
        <row r="18">
          <cell r="B18" t="str">
            <v>典型户型修正</v>
          </cell>
        </row>
        <row r="19">
          <cell r="B19" t="str">
            <v>典型户型修正(比较法)</v>
          </cell>
        </row>
        <row r="20">
          <cell r="B20" t="str">
            <v>收益法-酒店模型</v>
          </cell>
        </row>
        <row r="21">
          <cell r="B21" t="str">
            <v>比较法-商业售价</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41">
          <cell r="D41" t="str">
            <v>城镇土地纳税等级分级范围</v>
          </cell>
        </row>
        <row r="42">
          <cell r="D42" t="str">
            <v>一级</v>
          </cell>
        </row>
        <row r="43">
          <cell r="D43" t="str">
            <v>二级</v>
          </cell>
        </row>
        <row r="44">
          <cell r="D44" t="str">
            <v>三级</v>
          </cell>
        </row>
        <row r="45">
          <cell r="D45" t="str">
            <v>四级</v>
          </cell>
        </row>
        <row r="46">
          <cell r="D46" t="str">
            <v>五级</v>
          </cell>
        </row>
        <row r="47">
          <cell r="D47" t="str">
            <v>六级</v>
          </cell>
        </row>
        <row r="48">
          <cell r="D48" t="str">
            <v>七级</v>
          </cell>
        </row>
        <row r="49">
          <cell r="D49" t="str">
            <v>八级</v>
          </cell>
        </row>
        <row r="50">
          <cell r="D50" t="str">
            <v>九级</v>
          </cell>
        </row>
        <row r="51">
          <cell r="D51" t="str">
            <v>十级</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8">
          <cell r="B8" t="str">
            <v>修正项2</v>
          </cell>
        </row>
        <row r="10">
          <cell r="B10" t="str">
            <v>修正项3</v>
          </cell>
        </row>
        <row r="12">
          <cell r="B12" t="str">
            <v>修正项4</v>
          </cell>
        </row>
        <row r="14">
          <cell r="B14" t="str">
            <v>修正项5</v>
          </cell>
        </row>
        <row r="16">
          <cell r="B16" t="str">
            <v>修正项6</v>
          </cell>
        </row>
        <row r="18">
          <cell r="B18" t="str">
            <v>修正项7</v>
          </cell>
        </row>
        <row r="20">
          <cell r="A20" t="str">
            <v>修正系数</v>
          </cell>
          <cell r="B20" t="str">
            <v>楼层</v>
          </cell>
        </row>
      </sheetData>
      <sheetData sheetId="2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1">
        <row r="61">
          <cell r="A61" t="str">
            <v>交易情况</v>
          </cell>
          <cell r="C61" t="str">
            <v>正常</v>
          </cell>
        </row>
        <row r="63">
          <cell r="B63" t="str">
            <v>用途</v>
          </cell>
          <cell r="C63" t="str">
            <v>商业</v>
          </cell>
        </row>
        <row r="86">
          <cell r="B86" t="str">
            <v>临街状况</v>
          </cell>
        </row>
        <row r="90">
          <cell r="B90" t="str">
            <v>人流量</v>
          </cell>
        </row>
        <row r="92">
          <cell r="B92" t="str">
            <v>楼层</v>
          </cell>
          <cell r="C92" t="str">
            <v>高楼层</v>
          </cell>
          <cell r="D92" t="str">
            <v>中楼层</v>
          </cell>
          <cell r="E92" t="str">
            <v>低楼层</v>
          </cell>
        </row>
        <row r="100">
          <cell r="B100" t="str">
            <v>商业类型</v>
          </cell>
          <cell r="C100" t="str">
            <v>公寓式酒店</v>
          </cell>
        </row>
        <row r="105">
          <cell r="B105" t="str">
            <v>建筑结构</v>
          </cell>
          <cell r="C105" t="str">
            <v>钢混</v>
          </cell>
        </row>
        <row r="107">
          <cell r="B107" t="str">
            <v>公共部分装修</v>
          </cell>
          <cell r="C107" t="str">
            <v>精装修</v>
          </cell>
        </row>
        <row r="112">
          <cell r="B112" t="str">
            <v>市政基础设施</v>
          </cell>
        </row>
        <row r="114">
          <cell r="B114" t="str">
            <v>业态</v>
          </cell>
        </row>
        <row r="116">
          <cell r="B116" t="str">
            <v>层高</v>
          </cell>
        </row>
        <row r="120">
          <cell r="B120" t="str">
            <v>进深比</v>
          </cell>
        </row>
        <row r="122">
          <cell r="B122" t="str">
            <v>内部装修</v>
          </cell>
          <cell r="C122" t="str">
            <v>精装修</v>
          </cell>
          <cell r="D122" t="str">
            <v>普通装修</v>
          </cell>
        </row>
      </sheetData>
      <sheetData sheetId="22" refreshError="1"/>
      <sheetData sheetId="23">
        <row r="62">
          <cell r="A62" t="str">
            <v>交易情况</v>
          </cell>
          <cell r="C62" t="str">
            <v>正常</v>
          </cell>
        </row>
        <row r="64">
          <cell r="B64" t="str">
            <v>用途</v>
          </cell>
          <cell r="C64" t="str">
            <v>商业</v>
          </cell>
        </row>
        <row r="87">
          <cell r="B87" t="str">
            <v>毗邻道路的类型与等级</v>
          </cell>
        </row>
        <row r="89">
          <cell r="B89" t="str">
            <v>楼层</v>
          </cell>
        </row>
        <row r="91">
          <cell r="B91" t="str">
            <v>朝向</v>
          </cell>
          <cell r="C91" t="str">
            <v>南</v>
          </cell>
          <cell r="D91" t="str">
            <v>东</v>
          </cell>
          <cell r="E91" t="str">
            <v>西</v>
          </cell>
          <cell r="F91" t="str">
            <v>北</v>
          </cell>
        </row>
        <row r="101">
          <cell r="B101" t="str">
            <v>建筑类型</v>
          </cell>
          <cell r="C101" t="str">
            <v>LOFT</v>
          </cell>
        </row>
        <row r="106">
          <cell r="B106" t="str">
            <v>建筑结构</v>
          </cell>
          <cell r="C106" t="str">
            <v>钢混</v>
          </cell>
        </row>
        <row r="108">
          <cell r="B108" t="str">
            <v>公共部分装修</v>
          </cell>
          <cell r="C108" t="str">
            <v>精装修</v>
          </cell>
        </row>
        <row r="113">
          <cell r="B113" t="str">
            <v>写字楼等级</v>
          </cell>
        </row>
        <row r="115">
          <cell r="B115" t="str">
            <v>物业管理</v>
          </cell>
          <cell r="C115" t="str">
            <v>物业公司管理</v>
          </cell>
        </row>
        <row r="117">
          <cell r="B117" t="str">
            <v>市政基础设施</v>
          </cell>
          <cell r="C117" t="str">
            <v>七通</v>
          </cell>
        </row>
        <row r="119">
          <cell r="B119" t="str">
            <v>层高</v>
          </cell>
        </row>
        <row r="123">
          <cell r="B123" t="str">
            <v>内部装修</v>
          </cell>
          <cell r="C123" t="str">
            <v>一般装修(精装修)</v>
          </cell>
          <cell r="D123" t="str">
            <v>普通装修</v>
          </cell>
          <cell r="E123" t="str">
            <v>简单装修</v>
          </cell>
          <cell r="F123" t="str">
            <v>毛坯</v>
          </cell>
        </row>
      </sheetData>
      <sheetData sheetId="24" refreshError="1"/>
      <sheetData sheetId="25" refreshError="1"/>
      <sheetData sheetId="26"/>
      <sheetData sheetId="2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2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0">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1">
        <row r="69">
          <cell r="B69" t="str">
            <v>用途</v>
          </cell>
        </row>
        <row r="96">
          <cell r="B96" t="str">
            <v>毗邻道路的类型与等级</v>
          </cell>
        </row>
        <row r="98">
          <cell r="B98" t="str">
            <v>土地级别</v>
          </cell>
        </row>
        <row r="109">
          <cell r="B109" t="str">
            <v>宗地形状</v>
          </cell>
        </row>
        <row r="111">
          <cell r="B111" t="str">
            <v>宗地开发程度</v>
          </cell>
        </row>
        <row r="113">
          <cell r="B113" t="str">
            <v>工程地质条件</v>
          </cell>
        </row>
      </sheetData>
      <sheetData sheetId="32" refreshError="1"/>
      <sheetData sheetId="33" refreshError="1"/>
      <sheetData sheetId="34" refreshError="1"/>
      <sheetData sheetId="35" refreshError="1"/>
      <sheetData sheetId="3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估价对象为北京市房地产，为所有。根据《国有土地使用证》[]，估价对象（分摊）出让国有建设用地使用权面积为0平方米，建筑面积为69.63平方米。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估价对象为北京市房地产,属开发建设的，该项目尚在开发建设中。根据《国有土地使用证》[]，估价对象（分摊）出让国有建设用地使用权面积为0平方米，规划建筑面积为69.63平方米。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2023年11月17日（评估专业人员实地查勘之日）</v>
      </c>
    </row>
    <row r="13" spans="1:2">
      <c r="A13" s="1119" t="s">
        <v>529</v>
      </c>
      <c r="B13" s="1120" t="str">
        <f>'预评函-1'!A18</f>
        <v>本次估价的“房地产价值”是指在正常市场情况下，在价值时点2023年11月17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本次评估采用的主估价方法为成本法和比较法。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69.63</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74" t="str">
        <f>项目基本情况!B1</f>
        <v>北京市房地产市场价值预评估</v>
      </c>
      <c r="C37" s="3174"/>
      <c r="D37" s="3174"/>
      <c r="E37" s="3174"/>
      <c r="F37" s="3174"/>
      <c r="G37" s="3174"/>
      <c r="H37" s="3174"/>
      <c r="I37" s="3174"/>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受贵公司委托，我公司对北京市房地产市场价值进行了预评估。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估价对象为北京市房地产，为所有。根据《国有土地使用证》[]，估价对象（分摊）出让国有建设用地使用权面积为0平方米，建筑面积为69.63平方米。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估价对象为北京市房地产,属开发建设的，该项目尚在开发建设中。根据《国有土地使用证》[]，估价对象（分摊）出让国有建设用地使用权面积为0平方米，规划建筑面积为69.63平方米。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2023年11月17日（评估专业人员实地查勘之日）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17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本次评估采用的主估价方法为成本法和比较法。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9"/>
      <c r="C2" s="3179"/>
      <c r="D2" s="3179"/>
      <c r="E2" s="3179"/>
    </row>
    <row r="3" spans="1:5" ht="18">
      <c r="A3" s="3180" t="str">
        <f>IF(项目基本情况!B9="房地产市场价值","估价结果一览表（市场价值不需“结果表-1”）","估价结果一览表")</f>
        <v>估价结果一览表（市场价值不需“结果表-1”）</v>
      </c>
      <c r="B3" s="3180"/>
      <c r="C3" s="3180"/>
      <c r="D3" s="3180"/>
      <c r="E3" s="3180"/>
    </row>
    <row r="4" spans="1:5" ht="19.5" thickBot="1">
      <c r="A4" s="1391"/>
      <c r="B4" s="3178" t="s">
        <v>917</v>
      </c>
      <c r="C4" s="3178"/>
      <c r="D4" s="3178"/>
      <c r="E4" s="1391"/>
    </row>
    <row r="5" spans="1:5" ht="16.5" thickTop="1">
      <c r="B5" s="3176" t="s">
        <v>909</v>
      </c>
      <c r="C5" s="1392" t="s">
        <v>910</v>
      </c>
      <c r="D5" s="797" t="e">
        <f ca="1">结果表!H101</f>
        <v>#REF!</v>
      </c>
    </row>
    <row r="6" spans="1:5" ht="15.75">
      <c r="B6" s="3176"/>
      <c r="C6" s="1392" t="s">
        <v>911</v>
      </c>
      <c r="D6" s="797" t="e">
        <f ca="1">NUMBERSTRING(INT(D5*10000),2)&amp;"元整"</f>
        <v>#REF!</v>
      </c>
    </row>
    <row r="7" spans="1:5" ht="15.75">
      <c r="B7" s="3181"/>
      <c r="C7" s="1393" t="s">
        <v>912</v>
      </c>
      <c r="D7" s="798" t="e">
        <f ca="1">结果表!H102</f>
        <v>#REF!</v>
      </c>
    </row>
    <row r="8" spans="1:5" ht="15.75">
      <c r="B8" s="3182" t="str">
        <f>结果表!E103</f>
        <v>2.估价师知悉的法定优先受偿款</v>
      </c>
      <c r="C8" s="1394" t="s">
        <v>913</v>
      </c>
      <c r="D8" s="798">
        <f>结果表!H103</f>
        <v>0</v>
      </c>
    </row>
    <row r="9" spans="1:5" ht="15.75">
      <c r="B9" s="3184"/>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75" t="str">
        <f>结果表!E107</f>
        <v>3.房地产抵押价值</v>
      </c>
      <c r="C13" s="1397" t="s">
        <v>910</v>
      </c>
      <c r="D13" s="800" t="e">
        <f ca="1">结果表!H107</f>
        <v>#REF!</v>
      </c>
    </row>
    <row r="14" spans="1:5" ht="15.75">
      <c r="B14" s="3176"/>
      <c r="C14" s="1392" t="s">
        <v>911</v>
      </c>
      <c r="D14" s="797" t="e">
        <f ca="1">NUMBERSTRING(INT(D13*10000),2)&amp;"元整"</f>
        <v>#REF!</v>
      </c>
    </row>
    <row r="15" spans="1:5" ht="15">
      <c r="B15" s="3181"/>
      <c r="C15" s="1393" t="s">
        <v>921</v>
      </c>
      <c r="D15" s="806" t="e">
        <f ca="1">结果表!H108</f>
        <v>#REF!</v>
      </c>
    </row>
    <row r="16" spans="1:5" ht="15">
      <c r="B16" s="3182" t="str">
        <f>结果表!E109</f>
        <v>——</v>
      </c>
      <c r="C16" s="1397" t="s">
        <v>922</v>
      </c>
      <c r="D16" s="1398" t="str">
        <f>结果表!H109</f>
        <v>——</v>
      </c>
    </row>
    <row r="17" spans="1:5" ht="15.75">
      <c r="B17" s="3183"/>
      <c r="C17" s="1392" t="s">
        <v>923</v>
      </c>
      <c r="D17" s="797" t="e">
        <f>NUMBERSTRING(INT(D16*10000),2)&amp;"元整"</f>
        <v>#VALUE!</v>
      </c>
    </row>
    <row r="18" spans="1:5" ht="15">
      <c r="B18" s="3184"/>
      <c r="C18" s="1393" t="s">
        <v>912</v>
      </c>
      <c r="D18" s="806" t="str">
        <f>结果表!H110</f>
        <v>——</v>
      </c>
    </row>
    <row r="19" spans="1:5" ht="15.75">
      <c r="B19" s="3175" t="str">
        <f>结果表!E111</f>
        <v>——</v>
      </c>
      <c r="C19" s="1397" t="s">
        <v>910</v>
      </c>
      <c r="D19" s="798" t="str">
        <f>结果表!H111</f>
        <v>——</v>
      </c>
    </row>
    <row r="20" spans="1:5" ht="15.75">
      <c r="B20" s="3176"/>
      <c r="C20" s="1392" t="s">
        <v>923</v>
      </c>
      <c r="D20" s="797" t="e">
        <f>NUMBERSTRING(INT(D19*10000),2)&amp;"元整"</f>
        <v>#VALUE!</v>
      </c>
    </row>
    <row r="21" spans="1:5" ht="15.75" thickBot="1">
      <c r="B21" s="3177"/>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92" t="str">
        <f>IF(项目基本情况!B9="房地产市场价值","估价结果一览表","结果表-2")</f>
        <v>估价结果一览表</v>
      </c>
      <c r="B1" s="3192"/>
      <c r="C1" s="3192"/>
      <c r="D1" s="3192"/>
      <c r="E1" s="3192"/>
      <c r="F1" s="3192"/>
      <c r="G1" s="3192"/>
      <c r="H1" s="3192"/>
      <c r="I1" s="3192"/>
    </row>
    <row r="2" spans="1:9" ht="30" customHeight="1" thickTop="1">
      <c r="A2" s="3193" t="s">
        <v>928</v>
      </c>
      <c r="B2" s="3193" t="s">
        <v>929</v>
      </c>
      <c r="C2" s="3193" t="s">
        <v>930</v>
      </c>
      <c r="D2" s="3193" t="str">
        <f>结果表!D116</f>
        <v>出让国有建设用地使用权价值</v>
      </c>
      <c r="E2" s="3193"/>
      <c r="F2" s="3193" t="str">
        <f>结果表!F116</f>
        <v>在建建筑物价值</v>
      </c>
      <c r="G2" s="3193"/>
      <c r="H2" s="3193" t="str">
        <f>IF(项目基本情况!B9="房地产市场价值","房地产市场价值","房地产价值")</f>
        <v>房地产市场价值</v>
      </c>
      <c r="I2" s="3193"/>
    </row>
    <row r="3" spans="1:9" ht="15">
      <c r="A3" s="3188"/>
      <c r="B3" s="3188"/>
      <c r="C3" s="3188"/>
      <c r="D3" s="801" t="s">
        <v>925</v>
      </c>
      <c r="E3" s="801" t="s">
        <v>931</v>
      </c>
      <c r="F3" s="801" t="s">
        <v>925</v>
      </c>
      <c r="G3" s="801" t="s">
        <v>926</v>
      </c>
      <c r="H3" s="801" t="s">
        <v>925</v>
      </c>
      <c r="I3" s="801" t="s">
        <v>926</v>
      </c>
    </row>
    <row r="4" spans="1:9" ht="15">
      <c r="A4" s="1403" t="str">
        <f>项目基本情况!S2</f>
        <v>北京市房地产</v>
      </c>
      <c r="B4" s="801">
        <f>项目基本情况!C17</f>
        <v>69.63</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88" t="s">
        <v>927</v>
      </c>
      <c r="B5" s="3188"/>
      <c r="C5" s="3188"/>
      <c r="D5" s="3188" t="e">
        <f ca="1">结果表!D119</f>
        <v>#REF!</v>
      </c>
      <c r="E5" s="3188"/>
      <c r="F5" s="3188" t="e">
        <f ca="1">结果表!F119</f>
        <v>#REF!</v>
      </c>
      <c r="G5" s="3188"/>
      <c r="H5" s="3188" t="e">
        <f ca="1">结果表!H119</f>
        <v>#REF!</v>
      </c>
      <c r="I5" s="3188"/>
    </row>
    <row r="6" spans="1:9" ht="15.75">
      <c r="A6" s="3187" t="str">
        <f>结果表!A120</f>
        <v/>
      </c>
      <c r="B6" s="3187"/>
      <c r="C6" s="3187"/>
      <c r="D6" s="3187">
        <f>结果表!D120</f>
        <v>0</v>
      </c>
      <c r="E6" s="3187"/>
      <c r="F6" s="3187"/>
      <c r="G6" s="3187"/>
      <c r="H6" s="3187"/>
      <c r="I6" s="3187"/>
    </row>
    <row r="7" spans="1:9" ht="15">
      <c r="A7" s="3188" t="s">
        <v>927</v>
      </c>
      <c r="B7" s="3188"/>
      <c r="C7" s="3188"/>
      <c r="D7" s="3189" t="str">
        <f>结果表!D121</f>
        <v>零元整</v>
      </c>
      <c r="E7" s="3190"/>
      <c r="F7" s="3190"/>
      <c r="G7" s="3190"/>
      <c r="H7" s="3190"/>
      <c r="I7" s="3191"/>
    </row>
    <row r="8" spans="1:9" ht="15.75">
      <c r="A8" s="3187" t="str">
        <f>结果表!A122</f>
        <v/>
      </c>
      <c r="B8" s="3187"/>
      <c r="C8" s="3187"/>
      <c r="D8" s="3187" t="e">
        <f ca="1">结果表!D122</f>
        <v>#REF!</v>
      </c>
      <c r="E8" s="3187"/>
      <c r="F8" s="3187"/>
      <c r="G8" s="3187"/>
      <c r="H8" s="3187"/>
      <c r="I8" s="3187"/>
    </row>
    <row r="9" spans="1:9" ht="15">
      <c r="A9" s="3188" t="s">
        <v>927</v>
      </c>
      <c r="B9" s="3188"/>
      <c r="C9" s="3188"/>
      <c r="D9" s="3188" t="e">
        <f ca="1">结果表!D123</f>
        <v>#REF!</v>
      </c>
      <c r="E9" s="3188"/>
      <c r="F9" s="3188"/>
      <c r="G9" s="3188"/>
      <c r="H9" s="3188"/>
      <c r="I9" s="3188"/>
    </row>
    <row r="10" spans="1:9" ht="15.75">
      <c r="A10" s="3187" t="str">
        <f>结果表!A124</f>
        <v/>
      </c>
      <c r="B10" s="3187"/>
      <c r="C10" s="3187"/>
      <c r="D10" s="3187" t="str">
        <f>结果表!D124</f>
        <v>——</v>
      </c>
      <c r="E10" s="3187"/>
      <c r="F10" s="3187"/>
      <c r="G10" s="3187"/>
      <c r="H10" s="3187"/>
      <c r="I10" s="3187"/>
    </row>
    <row r="11" spans="1:9" ht="15">
      <c r="A11" s="3188" t="s">
        <v>927</v>
      </c>
      <c r="B11" s="3188"/>
      <c r="C11" s="3188"/>
      <c r="D11" s="3188" t="e">
        <f>结果表!D125</f>
        <v>#VALUE!</v>
      </c>
      <c r="E11" s="3188"/>
      <c r="F11" s="3188"/>
      <c r="G11" s="3188"/>
      <c r="H11" s="3188"/>
      <c r="I11" s="3188"/>
    </row>
    <row r="12" spans="1:9" ht="15.75">
      <c r="A12" s="3187" t="str">
        <f>结果表!A126</f>
        <v/>
      </c>
      <c r="B12" s="3187"/>
      <c r="C12" s="3187"/>
      <c r="D12" s="3187" t="str">
        <f>结果表!D126</f>
        <v>——</v>
      </c>
      <c r="E12" s="3187"/>
      <c r="F12" s="3187"/>
      <c r="G12" s="3187"/>
      <c r="H12" s="3187"/>
      <c r="I12" s="3187"/>
    </row>
    <row r="13" spans="1:9" ht="15.75" thickBot="1">
      <c r="A13" s="3185" t="s">
        <v>927</v>
      </c>
      <c r="B13" s="3185"/>
      <c r="C13" s="3185"/>
      <c r="D13" s="3185" t="e">
        <f>结果表!D127</f>
        <v>#VALUE!</v>
      </c>
      <c r="E13" s="3185"/>
      <c r="F13" s="3185"/>
      <c r="G13" s="3185"/>
      <c r="H13" s="3185"/>
      <c r="I13" s="3185"/>
    </row>
    <row r="14" spans="1:9" ht="15" thickTop="1">
      <c r="A14" s="3186" t="s">
        <v>932</v>
      </c>
      <c r="B14" s="3186"/>
      <c r="C14" s="3186"/>
      <c r="D14" s="3186"/>
      <c r="E14" s="3186"/>
      <c r="F14" s="3186"/>
      <c r="G14" s="3186"/>
      <c r="H14" s="3186"/>
      <c r="I14" s="3186"/>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00" t="s">
        <v>949</v>
      </c>
      <c r="B1" s="3200"/>
      <c r="C1" s="3200"/>
      <c r="D1" s="3200"/>
    </row>
    <row r="2" spans="1:4" ht="18">
      <c r="A2" s="3201" t="s">
        <v>933</v>
      </c>
      <c r="B2" s="3201"/>
      <c r="C2" s="3201"/>
      <c r="D2" s="3201"/>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201" t="s">
        <v>939</v>
      </c>
      <c r="B6" s="3201"/>
      <c r="C6" s="3201"/>
      <c r="D6" s="3201"/>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202" t="s">
        <v>942</v>
      </c>
      <c r="B11" s="3194"/>
      <c r="C11" s="3194"/>
      <c r="D11" s="3194"/>
    </row>
    <row r="12" spans="1:4" ht="15.75">
      <c r="A12" s="31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9"/>
      <c r="C12" s="3199"/>
      <c r="D12" s="3199"/>
    </row>
    <row r="13" spans="1:4" ht="30" customHeight="1">
      <c r="A13" s="3194" t="str">
        <f>IF(项目基本情况!B8="抵押","3.抵押双方在办理抵押登记手续时，应使用本公司出具的正式《房地产评估报告》，特提醒报告使用者注意。","——")</f>
        <v>——</v>
      </c>
      <c r="B13" s="3199"/>
      <c r="C13" s="3199"/>
      <c r="D13" s="3199"/>
    </row>
    <row r="14" spans="1:4" ht="15.75" customHeight="1">
      <c r="A14" s="3194" t="str">
        <f>IF(项目基本情况!B8="抵押","4.本次评估估价师所知悉的法定优先受偿款情况说明如下：","——")</f>
        <v>——</v>
      </c>
      <c r="B14" s="3199"/>
      <c r="C14" s="3199"/>
      <c r="D14" s="3199"/>
    </row>
    <row r="15" spans="1:4" ht="42" customHeight="1">
      <c r="A15" s="3194" t="str">
        <f>IF(项目基本情况!B8="抵押","（1）"&amp;CONCATENATE(项目基本情况!L20,项目基本情况!L21,项目基本情况!L22),"——")</f>
        <v>——</v>
      </c>
      <c r="B15" s="3194"/>
      <c r="C15" s="3194"/>
      <c r="D15" s="3194"/>
    </row>
    <row r="16" spans="1:4" ht="30" customHeight="1">
      <c r="A16" s="3196" t="s">
        <v>943</v>
      </c>
      <c r="B16" s="3196"/>
      <c r="C16" s="3196"/>
      <c r="D16" s="3196"/>
    </row>
    <row r="17" spans="1:4" ht="144" customHeight="1">
      <c r="A17" s="3196" t="s">
        <v>944</v>
      </c>
      <c r="B17" s="3196"/>
      <c r="C17" s="3196"/>
      <c r="D17" s="3196"/>
    </row>
    <row r="18" spans="1:4" ht="15.75" customHeight="1">
      <c r="A18" s="3194" t="str">
        <f>IF(项目基本情况!B8="抵押",结果表!K120,"——")</f>
        <v>——</v>
      </c>
      <c r="B18" s="3194"/>
      <c r="C18" s="3194"/>
      <c r="D18" s="3194"/>
    </row>
    <row r="19" spans="1:4" ht="46.5" customHeight="1">
      <c r="A19" s="31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4"/>
      <c r="C19" s="3194"/>
      <c r="D19" s="3194"/>
    </row>
    <row r="20" spans="1:4" ht="57.75" customHeight="1">
      <c r="A20" s="31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4"/>
      <c r="C20" s="3194"/>
      <c r="D20" s="3194"/>
    </row>
    <row r="21" spans="1:4" ht="57.75" customHeight="1">
      <c r="A21" s="31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7"/>
      <c r="C21" s="3197"/>
      <c r="D21" s="3197"/>
    </row>
    <row r="22" spans="1:4" ht="18.75" customHeight="1">
      <c r="A22" s="3198" t="s">
        <v>945</v>
      </c>
      <c r="B22" s="3198"/>
      <c r="C22" s="3198"/>
      <c r="D22" s="3198"/>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95">
        <v>42551</v>
      </c>
      <c r="D31" s="31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208" t="s">
        <v>956</v>
      </c>
      <c r="B15" s="3203" t="s">
        <v>109</v>
      </c>
      <c r="C15" s="3204"/>
    </row>
    <row r="16" spans="1:7" ht="13.5">
      <c r="A16" s="3209"/>
      <c r="B16" s="3203" t="s">
        <v>42</v>
      </c>
      <c r="C16" s="3204"/>
    </row>
    <row r="17" spans="1:3" ht="13.5">
      <c r="A17" s="3209"/>
      <c r="B17" s="3206" t="s">
        <v>957</v>
      </c>
      <c r="C17" s="1429" t="s">
        <v>956</v>
      </c>
    </row>
    <row r="18" spans="1:3" ht="13.5">
      <c r="A18" s="3209"/>
      <c r="B18" s="3206"/>
      <c r="C18" s="1429" t="s">
        <v>958</v>
      </c>
    </row>
    <row r="19" spans="1:3" ht="13.5">
      <c r="A19" s="3209"/>
      <c r="B19" s="3206"/>
      <c r="C19" s="1429" t="s">
        <v>959</v>
      </c>
    </row>
    <row r="20" spans="1:3" ht="13.5">
      <c r="A20" s="3210"/>
      <c r="B20" s="3205" t="s">
        <v>960</v>
      </c>
      <c r="C20" s="3204"/>
    </row>
    <row r="21" spans="1:3" ht="13.5">
      <c r="A21" s="1430" t="s">
        <v>961</v>
      </c>
      <c r="B21" s="1431"/>
      <c r="C21" s="1432"/>
    </row>
    <row r="22" spans="1:3" ht="13.5">
      <c r="A22" s="3207" t="s">
        <v>962</v>
      </c>
      <c r="B22" s="3205" t="s">
        <v>963</v>
      </c>
      <c r="C22" s="3204"/>
    </row>
    <row r="23" spans="1:3" ht="13.5">
      <c r="A23" s="3207"/>
      <c r="B23" s="3205" t="s">
        <v>964</v>
      </c>
      <c r="C23" s="3204"/>
    </row>
    <row r="24" spans="1:3" ht="13.5">
      <c r="A24" s="3207"/>
      <c r="B24" s="3205" t="s">
        <v>965</v>
      </c>
      <c r="C24" s="3204"/>
    </row>
    <row r="25" spans="1:3" ht="13.5">
      <c r="A25" s="3207"/>
      <c r="B25" s="3206" t="s">
        <v>966</v>
      </c>
      <c r="C25" s="1429" t="s">
        <v>967</v>
      </c>
    </row>
    <row r="26" spans="1:3" ht="13.5">
      <c r="A26" s="3207"/>
      <c r="B26" s="3206"/>
      <c r="C26" s="1429" t="s">
        <v>968</v>
      </c>
    </row>
    <row r="27" spans="1:3" ht="13.5">
      <c r="A27" s="3207"/>
      <c r="B27" s="3206"/>
      <c r="C27" s="1429" t="s">
        <v>969</v>
      </c>
    </row>
    <row r="28" spans="1:3" ht="13.5">
      <c r="A28" s="3207"/>
      <c r="B28" s="3206"/>
      <c r="C28" s="1429" t="s">
        <v>970</v>
      </c>
    </row>
    <row r="29" spans="1:3" ht="13.5">
      <c r="A29" s="3207"/>
      <c r="B29" s="3206"/>
      <c r="C29" s="1429" t="s">
        <v>971</v>
      </c>
    </row>
    <row r="30" spans="1:3" ht="13.5">
      <c r="A30" s="3207"/>
      <c r="B30" s="3206"/>
      <c r="C30" s="1429" t="s">
        <v>972</v>
      </c>
    </row>
    <row r="31" spans="1:3" ht="13.5">
      <c r="A31" s="3207"/>
      <c r="B31" s="3206"/>
      <c r="C31" s="1429" t="s">
        <v>973</v>
      </c>
    </row>
    <row r="32" spans="1:3" ht="13.5">
      <c r="A32" s="3207"/>
      <c r="B32" s="3206"/>
      <c r="C32" s="1429" t="s">
        <v>974</v>
      </c>
    </row>
    <row r="33" spans="1:3" ht="13.5">
      <c r="A33" s="3207"/>
      <c r="B33" s="3206"/>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45265</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f ca="1">IF(C6&lt;B2,"已过期",1120050019)</f>
        <v>1120050019</v>
      </c>
      <c r="C6" s="2161">
        <v>45410</v>
      </c>
      <c r="D6" s="2162" t="str">
        <f t="shared" ca="1" si="0"/>
        <v>王鹏（注册号：1120050019）</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f ca="1">IF(C9&lt;B2,"已过期",1120060040)</f>
        <v>1120060040</v>
      </c>
      <c r="C9" s="2166">
        <v>45592</v>
      </c>
      <c r="D9" s="2162" t="str">
        <f t="shared" ca="1" si="0"/>
        <v>陈颖（注册号：1120060040）</v>
      </c>
      <c r="E9" s="2163" t="s">
        <v>2153</v>
      </c>
      <c r="F9" s="1219">
        <f ca="1">IF(G9&lt;B2,"已过期",2004110096)</f>
        <v>2004110096</v>
      </c>
      <c r="G9" s="2164">
        <v>47118</v>
      </c>
      <c r="H9" s="2165" t="str">
        <f t="shared" ca="1" si="1"/>
        <v>陈颖（注册号：2004110096）</v>
      </c>
    </row>
    <row r="10" spans="1:8" ht="24" customHeight="1">
      <c r="A10" s="1219" t="s">
        <v>2154</v>
      </c>
      <c r="B10" s="1219">
        <f ca="1">IF(C10&lt;B2,"已过期",1120100036)</f>
        <v>1120100036</v>
      </c>
      <c r="C10" s="2166">
        <v>45752</v>
      </c>
      <c r="D10" s="2162" t="str">
        <f t="shared" ca="1" si="0"/>
        <v>崔锴（注册号：1120100036）</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f ca="1">IF(C13&lt;B2,"已过期",1120020033)</f>
        <v>1120020033</v>
      </c>
      <c r="C13" s="2161">
        <v>45375</v>
      </c>
      <c r="D13" s="2162" t="str">
        <f t="shared" ca="1" si="0"/>
        <v>刘敬东（注册号：1120020033）</v>
      </c>
      <c r="E13" s="2163" t="s">
        <v>2157</v>
      </c>
      <c r="F13" s="1219">
        <f ca="1">IF(G13&lt;B2,"已过期",2000110137)</f>
        <v>2000110137</v>
      </c>
      <c r="G13" s="2164">
        <v>46387</v>
      </c>
      <c r="H13" s="2165" t="str">
        <f t="shared" ca="1" si="1"/>
        <v>刘敬东（注册号：2000110137）</v>
      </c>
    </row>
    <row r="14" spans="1:8" ht="24" customHeight="1">
      <c r="A14" s="1219" t="s">
        <v>2158</v>
      </c>
      <c r="B14" s="1219" t="str">
        <f ca="1">IF(C14&lt;B2,"已过期",1119980106)</f>
        <v>已过期</v>
      </c>
      <c r="C14" s="2166">
        <v>44969</v>
      </c>
      <c r="D14" s="2162" t="str">
        <f t="shared" ca="1" si="0"/>
        <v>刘俊财（注册号：已过期）</v>
      </c>
      <c r="E14" s="2163" t="s">
        <v>2158</v>
      </c>
      <c r="F14" s="1219">
        <f ca="1">IF(G14&lt;B2,"已过期",96010063)</f>
        <v>96010063</v>
      </c>
      <c r="G14" s="2164">
        <v>47483</v>
      </c>
      <c r="H14" s="2165" t="str">
        <f t="shared" ca="1" si="1"/>
        <v>刘俊财（注册号：96010063）</v>
      </c>
    </row>
    <row r="15" spans="1:8" ht="24" customHeight="1">
      <c r="A15" s="1219" t="s">
        <v>2440</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211" t="s">
        <v>2160</v>
      </c>
      <c r="B17" s="3211"/>
      <c r="C17" s="3211"/>
      <c r="D17" s="3211"/>
      <c r="E17" s="3211"/>
      <c r="F17" s="3211"/>
      <c r="G17" s="3211"/>
      <c r="H17" s="3211"/>
    </row>
    <row r="18" spans="1:8" ht="24" customHeight="1">
      <c r="A18" s="3212" t="s">
        <v>2161</v>
      </c>
      <c r="B18" s="3212"/>
      <c r="C18" s="3212"/>
      <c r="D18" s="2159"/>
      <c r="E18" s="3213" t="s">
        <v>2162</v>
      </c>
      <c r="F18" s="3212"/>
      <c r="G18" s="3212"/>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2441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D16 C4:D5 D7:D12 C13:D13 C12">
    <cfRule type="expression" dxfId="192" priority="53">
      <formula>AND($C4-TODAY()&lt;30,TODAY()&lt;$C4)</formula>
    </cfRule>
  </conditionalFormatting>
  <conditionalFormatting sqref="C20:D20">
    <cfRule type="expression" dxfId="191" priority="52">
      <formula>AND($C20-TODAY()&lt;30,TODAY()&lt;$C20)</formula>
    </cfRule>
  </conditionalFormatting>
  <conditionalFormatting sqref="C20:D20 G4 C4:D5 C13:D13">
    <cfRule type="cellIs" dxfId="190" priority="54" stopIfTrue="1" operator="lessThan">
      <formula>$B$2</formula>
    </cfRule>
  </conditionalFormatting>
  <conditionalFormatting sqref="G5 G7 G9">
    <cfRule type="cellIs" dxfId="189" priority="51" stopIfTrue="1" operator="lessThan">
      <formula>$B$2</formula>
    </cfRule>
  </conditionalFormatting>
  <conditionalFormatting sqref="C6:D6 D14 D16">
    <cfRule type="expression" dxfId="188" priority="49">
      <formula>AND($C6-TODAY()&lt;30,TODAY()&lt;$C6)</formula>
    </cfRule>
  </conditionalFormatting>
  <conditionalFormatting sqref="G6 G8 G10 C6:D6 D7:D12 D14 D16">
    <cfRule type="cellIs" dxfId="187" priority="50" stopIfTrue="1" operator="lessThan">
      <formula>$B$2</formula>
    </cfRule>
  </conditionalFormatting>
  <conditionalFormatting sqref="D12">
    <cfRule type="expression" dxfId="186" priority="47">
      <formula>AND($C12-TODAY()&lt;30,TODAY()&lt;$C12)</formula>
    </cfRule>
  </conditionalFormatting>
  <conditionalFormatting sqref="D12">
    <cfRule type="cellIs" dxfId="185" priority="48" stopIfTrue="1" operator="lessThan">
      <formula>$B$2</formula>
    </cfRule>
  </conditionalFormatting>
  <conditionalFormatting sqref="C13:D13">
    <cfRule type="expression" dxfId="184" priority="45">
      <formula>AND($C13-TODAY()&lt;30,TODAY()&lt;$C13)</formula>
    </cfRule>
  </conditionalFormatting>
  <conditionalFormatting sqref="C13:D13">
    <cfRule type="cellIs" dxfId="183" priority="46" stopIfTrue="1" operator="lessThan">
      <formula>$B$2</formula>
    </cfRule>
  </conditionalFormatting>
  <conditionalFormatting sqref="D14">
    <cfRule type="expression" dxfId="182" priority="43">
      <formula>AND($C14-TODAY()&lt;30,TODAY()&lt;$C14)</formula>
    </cfRule>
  </conditionalFormatting>
  <conditionalFormatting sqref="D14">
    <cfRule type="cellIs" dxfId="181" priority="44" stopIfTrue="1" operator="lessThan">
      <formula>$B$2</formula>
    </cfRule>
  </conditionalFormatting>
  <conditionalFormatting sqref="G13">
    <cfRule type="cellIs" dxfId="180" priority="42" stopIfTrue="1" operator="lessThan">
      <formula>$B$2</formula>
    </cfRule>
  </conditionalFormatting>
  <conditionalFormatting sqref="B4:B11 F4:F11 B13 F13:F14">
    <cfRule type="cellIs" dxfId="179" priority="41" stopIfTrue="1" operator="equal">
      <formula>"已过期"</formula>
    </cfRule>
  </conditionalFormatting>
  <conditionalFormatting sqref="C7">
    <cfRule type="cellIs" dxfId="178" priority="38" stopIfTrue="1" operator="lessThan">
      <formula>$B$2</formula>
    </cfRule>
  </conditionalFormatting>
  <conditionalFormatting sqref="C7">
    <cfRule type="expression" dxfId="177" priority="37">
      <formula>AND($C7-TODAY()&lt;30,TODAY()&lt;$C7)</formula>
    </cfRule>
  </conditionalFormatting>
  <conditionalFormatting sqref="C8">
    <cfRule type="expression" dxfId="176" priority="35">
      <formula>AND($C8-TODAY()&lt;30,TODAY()&lt;$C8)</formula>
    </cfRule>
  </conditionalFormatting>
  <conditionalFormatting sqref="C8">
    <cfRule type="cellIs" dxfId="175" priority="36" stopIfTrue="1" operator="lessThan">
      <formula>$B$2</formula>
    </cfRule>
  </conditionalFormatting>
  <conditionalFormatting sqref="C11">
    <cfRule type="expression" dxfId="174" priority="33">
      <formula>AND($C11-TODAY()&lt;30,TODAY()&lt;$C11)</formula>
    </cfRule>
  </conditionalFormatting>
  <conditionalFormatting sqref="C11">
    <cfRule type="cellIs" dxfId="173" priority="34" stopIfTrue="1" operator="lessThan">
      <formula>$B$2</formula>
    </cfRule>
  </conditionalFormatting>
  <conditionalFormatting sqref="A16:C16">
    <cfRule type="cellIs" dxfId="172" priority="32" stopIfTrue="1" operator="equal">
      <formula>"已过期"</formula>
    </cfRule>
  </conditionalFormatting>
  <conditionalFormatting sqref="E16:G16">
    <cfRule type="cellIs" dxfId="171" priority="31" stopIfTrue="1" operator="equal">
      <formula>"已过期"</formula>
    </cfRule>
  </conditionalFormatting>
  <conditionalFormatting sqref="G11">
    <cfRule type="cellIs" dxfId="170" priority="30" stopIfTrue="1" operator="lessThan">
      <formula>$B$2</formula>
    </cfRule>
  </conditionalFormatting>
  <conditionalFormatting sqref="F12">
    <cfRule type="cellIs" dxfId="169" priority="29" stopIfTrue="1" operator="equal">
      <formula>"已过期"</formula>
    </cfRule>
  </conditionalFormatting>
  <conditionalFormatting sqref="G12">
    <cfRule type="cellIs" dxfId="168" priority="28" stopIfTrue="1" operator="lessThan">
      <formula>$B$2</formula>
    </cfRule>
  </conditionalFormatting>
  <conditionalFormatting sqref="C12">
    <cfRule type="cellIs" dxfId="167" priority="27" stopIfTrue="1" operator="lessThan">
      <formula>$B$2</formula>
    </cfRule>
  </conditionalFormatting>
  <conditionalFormatting sqref="C12">
    <cfRule type="expression" dxfId="166" priority="25">
      <formula>AND($C12-TODAY()&lt;30,TODAY()&lt;$C12)</formula>
    </cfRule>
  </conditionalFormatting>
  <conditionalFormatting sqref="C12">
    <cfRule type="cellIs" dxfId="165" priority="26" stopIfTrue="1" operator="lessThan">
      <formula>$B$2</formula>
    </cfRule>
  </conditionalFormatting>
  <conditionalFormatting sqref="B12">
    <cfRule type="cellIs" dxfId="164" priority="24" stopIfTrue="1" operator="equal">
      <formula>"已过期"</formula>
    </cfRule>
  </conditionalFormatting>
  <conditionalFormatting sqref="C9:C10">
    <cfRule type="expression" dxfId="163" priority="22">
      <formula>AND($C9-TODAY()&lt;30,TODAY()&lt;$C9)</formula>
    </cfRule>
  </conditionalFormatting>
  <conditionalFormatting sqref="C9:C10">
    <cfRule type="cellIs" dxfId="162" priority="23" stopIfTrue="1" operator="lessThan">
      <formula>$B$2</formula>
    </cfRule>
  </conditionalFormatting>
  <conditionalFormatting sqref="G21">
    <cfRule type="expression" dxfId="161" priority="20" stopIfTrue="1">
      <formula>AND(#REF!-TODAY()&lt;30,TODAY()&lt;#REF!)</formula>
    </cfRule>
  </conditionalFormatting>
  <conditionalFormatting sqref="G21">
    <cfRule type="cellIs" dxfId="160" priority="21" stopIfTrue="1" operator="lessThan">
      <formula>$B$2</formula>
    </cfRule>
  </conditionalFormatting>
  <conditionalFormatting sqref="C14">
    <cfRule type="expression" dxfId="159" priority="18">
      <formula>AND($C14-TODAY()&lt;30,TODAY()&lt;$C14)</formula>
    </cfRule>
  </conditionalFormatting>
  <conditionalFormatting sqref="C14">
    <cfRule type="cellIs" dxfId="158" priority="19" stopIfTrue="1" operator="lessThan">
      <formula>$B$2</formula>
    </cfRule>
  </conditionalFormatting>
  <conditionalFormatting sqref="C14">
    <cfRule type="expression" dxfId="157" priority="16">
      <formula>AND($C14-TODAY()&lt;30,TODAY()&lt;$C14)</formula>
    </cfRule>
  </conditionalFormatting>
  <conditionalFormatting sqref="C14">
    <cfRule type="cellIs" dxfId="156" priority="17" stopIfTrue="1" operator="lessThan">
      <formula>$B$2</formula>
    </cfRule>
  </conditionalFormatting>
  <conditionalFormatting sqref="B14">
    <cfRule type="cellIs" dxfId="155" priority="15" stopIfTrue="1" operator="equal">
      <formula>"已过期"</formula>
    </cfRule>
  </conditionalFormatting>
  <conditionalFormatting sqref="G14">
    <cfRule type="cellIs" dxfId="154" priority="14" stopIfTrue="1" operator="lessThan">
      <formula>$B$2</formula>
    </cfRule>
  </conditionalFormatting>
  <conditionalFormatting sqref="D15">
    <cfRule type="expression" dxfId="153" priority="12">
      <formula>AND($C15-TODAY()&lt;30,TODAY()&lt;$C15)</formula>
    </cfRule>
  </conditionalFormatting>
  <conditionalFormatting sqref="D15">
    <cfRule type="cellIs" dxfId="152" priority="13" stopIfTrue="1" operator="lessThan">
      <formula>$B$2</formula>
    </cfRule>
  </conditionalFormatting>
  <conditionalFormatting sqref="D15">
    <cfRule type="expression" dxfId="151" priority="10">
      <formula>AND($C15-TODAY()&lt;30,TODAY()&lt;$C15)</formula>
    </cfRule>
  </conditionalFormatting>
  <conditionalFormatting sqref="D15">
    <cfRule type="cellIs" dxfId="150" priority="11" stopIfTrue="1" operator="lessThan">
      <formula>$B$2</formula>
    </cfRule>
  </conditionalFormatting>
  <conditionalFormatting sqref="F15">
    <cfRule type="cellIs" dxfId="149" priority="9" stopIfTrue="1" operator="equal">
      <formula>"已过期"</formula>
    </cfRule>
  </conditionalFormatting>
  <conditionalFormatting sqref="C15">
    <cfRule type="expression" dxfId="148" priority="7">
      <formula>AND($C15-TODAY()&lt;30,TODAY()&lt;$C15)</formula>
    </cfRule>
  </conditionalFormatting>
  <conditionalFormatting sqref="C15">
    <cfRule type="cellIs" dxfId="147" priority="8" stopIfTrue="1" operator="lessThan">
      <formula>$B$2</formula>
    </cfRule>
  </conditionalFormatting>
  <conditionalFormatting sqref="C15">
    <cfRule type="expression" dxfId="146" priority="5">
      <formula>AND($C15-TODAY()&lt;30,TODAY()&lt;$C15)</formula>
    </cfRule>
  </conditionalFormatting>
  <conditionalFormatting sqref="C15">
    <cfRule type="cellIs" dxfId="145" priority="6" stopIfTrue="1" operator="lessThan">
      <formula>$B$2</formula>
    </cfRule>
  </conditionalFormatting>
  <conditionalFormatting sqref="B15">
    <cfRule type="cellIs" dxfId="144" priority="4" stopIfTrue="1" operator="equal">
      <formula>"已过期"</formula>
    </cfRule>
  </conditionalFormatting>
  <conditionalFormatting sqref="G15">
    <cfRule type="cellIs" dxfId="143" priority="3" stopIfTrue="1" operator="lessThan">
      <formula>$B$2</formula>
    </cfRule>
  </conditionalFormatting>
  <conditionalFormatting sqref="G20">
    <cfRule type="expression" dxfId="142" priority="1" stopIfTrue="1">
      <formula>AND(#REF!-TODAY()&lt;30,TODAY()&lt;#REF!)</formula>
    </cfRule>
  </conditionalFormatting>
  <conditionalFormatting sqref="G20">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3353</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3339</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3340</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3341</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3342</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3343</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3344</v>
      </c>
    </row>
    <row r="8" spans="1:23">
      <c r="A8" s="1441" t="s">
        <v>1026</v>
      </c>
      <c r="B8" s="1441" t="s">
        <v>1027</v>
      </c>
      <c r="C8" s="1442" t="s">
        <v>319</v>
      </c>
      <c r="F8" s="1443" t="s">
        <v>1028</v>
      </c>
      <c r="H8" s="1443" t="s">
        <v>2580</v>
      </c>
      <c r="I8" s="1443" t="s">
        <v>3345</v>
      </c>
    </row>
    <row r="9" spans="1:23">
      <c r="A9" s="1441" t="s">
        <v>1029</v>
      </c>
      <c r="B9" s="1441" t="s">
        <v>1030</v>
      </c>
      <c r="C9" s="1442" t="s">
        <v>320</v>
      </c>
      <c r="F9" s="1443" t="s">
        <v>1031</v>
      </c>
      <c r="H9" s="1443"/>
      <c r="I9" s="1445" t="s">
        <v>3346</v>
      </c>
    </row>
    <row r="10" spans="1:23">
      <c r="A10" s="1441" t="s">
        <v>1032</v>
      </c>
      <c r="B10" s="1441" t="s">
        <v>1033</v>
      </c>
      <c r="C10" s="1442" t="s">
        <v>321</v>
      </c>
      <c r="F10" s="1443" t="s">
        <v>2581</v>
      </c>
      <c r="I10" s="1445" t="s">
        <v>3347</v>
      </c>
    </row>
    <row r="11" spans="1:23">
      <c r="A11" s="1441" t="s">
        <v>1034</v>
      </c>
      <c r="B11" s="1441" t="s">
        <v>1035</v>
      </c>
      <c r="C11" s="1442" t="s">
        <v>322</v>
      </c>
      <c r="F11" s="1443" t="s">
        <v>13</v>
      </c>
      <c r="I11" s="1445" t="s">
        <v>3348</v>
      </c>
    </row>
    <row r="12" spans="1:23">
      <c r="A12" s="1441" t="s">
        <v>1036</v>
      </c>
      <c r="B12" s="1441" t="s">
        <v>1037</v>
      </c>
      <c r="C12" s="1442" t="s">
        <v>323</v>
      </c>
      <c r="I12" s="1445" t="s">
        <v>3349</v>
      </c>
    </row>
    <row r="13" spans="1:23">
      <c r="A13" s="1441" t="s">
        <v>1038</v>
      </c>
      <c r="B13" s="1441" t="s">
        <v>1039</v>
      </c>
      <c r="C13" s="1442" t="s">
        <v>324</v>
      </c>
      <c r="I13" s="1445" t="s">
        <v>3350</v>
      </c>
    </row>
    <row r="14" spans="1:23">
      <c r="A14" s="1441" t="s">
        <v>1040</v>
      </c>
      <c r="B14" s="1441" t="s">
        <v>1041</v>
      </c>
      <c r="C14" s="1443" t="s">
        <v>13</v>
      </c>
      <c r="I14" s="1445" t="s">
        <v>3351</v>
      </c>
    </row>
    <row r="15" spans="1:23">
      <c r="A15" s="1441" t="s">
        <v>1042</v>
      </c>
      <c r="B15" s="1441" t="s">
        <v>1043</v>
      </c>
      <c r="C15" s="1442"/>
      <c r="I15" s="1445" t="s">
        <v>3352</v>
      </c>
    </row>
    <row r="16" spans="1:23">
      <c r="A16" s="1441" t="s">
        <v>1044</v>
      </c>
      <c r="B16" s="1441" t="s">
        <v>312</v>
      </c>
      <c r="C16" s="1442"/>
    </row>
    <row r="17" spans="1:3">
      <c r="A17" s="1441" t="s">
        <v>1045</v>
      </c>
      <c r="B17" s="1441" t="s">
        <v>2293</v>
      </c>
      <c r="C17" s="1442"/>
    </row>
    <row r="18" spans="1:3">
      <c r="A18" s="1441" t="s">
        <v>1046</v>
      </c>
      <c r="B18" s="1441" t="s">
        <v>2436</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4"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4"/>
      <c r="B54" s="1447" t="s">
        <v>385</v>
      </c>
      <c r="C54" s="1445" t="s">
        <v>583</v>
      </c>
    </row>
    <row r="55" spans="1:4">
      <c r="A55" s="3214"/>
      <c r="B55" s="1447" t="s">
        <v>386</v>
      </c>
      <c r="C55" s="1445" t="s">
        <v>584</v>
      </c>
    </row>
    <row r="56" spans="1:4">
      <c r="A56" s="3214"/>
      <c r="B56" s="1447" t="s">
        <v>387</v>
      </c>
      <c r="C56" s="1445" t="s">
        <v>588</v>
      </c>
    </row>
    <row r="57" spans="1:4">
      <c r="A57" s="3214"/>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6"/>
    <col min="8" max="8" width="5.5" style="2756" customWidth="1"/>
    <col min="9" max="13" width="9.5" style="2797" customWidth="1"/>
    <col min="14" max="18" width="9.5" style="2756" customWidth="1"/>
    <col min="19" max="16384" width="15.25" style="2756"/>
  </cols>
  <sheetData>
    <row r="1" spans="1:18">
      <c r="A1" s="2753" t="s">
        <v>2503</v>
      </c>
      <c r="B1" s="2754"/>
      <c r="C1" s="2754"/>
      <c r="D1" s="2754"/>
      <c r="E1" s="2754"/>
      <c r="F1" s="2755"/>
      <c r="I1" s="3132" t="s">
        <v>2596</v>
      </c>
      <c r="J1" s="2780"/>
      <c r="K1" s="2780"/>
      <c r="L1" s="2780"/>
      <c r="M1" s="2780"/>
      <c r="N1" s="2965"/>
      <c r="O1" s="2965"/>
      <c r="P1" s="2965"/>
      <c r="Q1" s="2965"/>
      <c r="R1" s="2965"/>
    </row>
    <row r="2" spans="1:18">
      <c r="A2" s="2757"/>
      <c r="B2" s="2758"/>
      <c r="C2" s="2758"/>
      <c r="D2" s="2758"/>
      <c r="E2" s="2758"/>
      <c r="F2" s="2759"/>
      <c r="I2" s="3215" t="s">
        <v>2583</v>
      </c>
      <c r="J2" s="3215"/>
      <c r="K2" s="3215"/>
      <c r="L2" s="3215"/>
      <c r="M2" s="3215"/>
      <c r="N2" s="3215"/>
      <c r="O2" s="3215"/>
      <c r="P2" s="3215"/>
      <c r="Q2" s="3215"/>
      <c r="R2" s="3215"/>
    </row>
    <row r="3" spans="1:18">
      <c r="A3" s="2760" t="s">
        <v>2504</v>
      </c>
      <c r="B3" s="2761">
        <f>项目基本情况!D3</f>
        <v>45247</v>
      </c>
      <c r="C3" s="2763"/>
      <c r="D3" s="2763"/>
      <c r="E3" s="2763"/>
      <c r="F3" s="2759"/>
      <c r="I3" s="2775"/>
      <c r="J3" s="2775" t="s">
        <v>2587</v>
      </c>
      <c r="K3" s="2775" t="s">
        <v>2588</v>
      </c>
      <c r="L3" s="2775" t="s">
        <v>2589</v>
      </c>
      <c r="M3" s="2775" t="s">
        <v>2590</v>
      </c>
      <c r="N3" s="3133" t="s">
        <v>2591</v>
      </c>
      <c r="O3" s="3133" t="s">
        <v>2592</v>
      </c>
      <c r="P3" s="3133" t="s">
        <v>2593</v>
      </c>
      <c r="Q3" s="3133" t="s">
        <v>2594</v>
      </c>
      <c r="R3" s="3133" t="s">
        <v>2595</v>
      </c>
    </row>
    <row r="4" spans="1:18">
      <c r="A4" s="2760" t="s">
        <v>2505</v>
      </c>
      <c r="B4" s="2763" t="s">
        <v>2506</v>
      </c>
      <c r="C4" s="2763" t="s">
        <v>2507</v>
      </c>
      <c r="D4" s="2763" t="s">
        <v>2508</v>
      </c>
      <c r="E4" s="2763" t="s">
        <v>2509</v>
      </c>
      <c r="F4" s="2759"/>
      <c r="I4" s="2775" t="s">
        <v>2584</v>
      </c>
      <c r="J4" s="2775">
        <v>80</v>
      </c>
      <c r="K4" s="2775">
        <v>70</v>
      </c>
      <c r="L4" s="2775">
        <v>20</v>
      </c>
      <c r="M4" s="2775">
        <v>30</v>
      </c>
      <c r="N4" s="2763">
        <v>45</v>
      </c>
      <c r="O4" s="2763">
        <v>60</v>
      </c>
      <c r="P4" s="2763">
        <v>50</v>
      </c>
      <c r="Q4" s="2763">
        <v>20</v>
      </c>
      <c r="R4" s="2763">
        <v>375</v>
      </c>
    </row>
    <row r="5" spans="1:18">
      <c r="A5" s="2764">
        <v>40</v>
      </c>
      <c r="B5" s="2761">
        <v>46375</v>
      </c>
      <c r="C5" s="2763">
        <f>ROUNDDOWN(MIN((B5-B3)/365,A5),2)</f>
        <v>3.09</v>
      </c>
      <c r="D5" s="2765">
        <f>IF(ISERROR(ROUND(POWER(1+E5,A5-C5)*(POWER(1+E5,C5)-1)/(POWER(1+E5,A5)-1),3)),0,ROUND(POWER(1+E5,A5-C5)*(POWER(1+E5,C5)-1)/(POWER(1+E5,A5)-1),4))</f>
        <v>0.14419999999999999</v>
      </c>
      <c r="E5" s="2766">
        <v>0.04</v>
      </c>
      <c r="F5" s="2759"/>
      <c r="I5" s="2775" t="s">
        <v>2585</v>
      </c>
      <c r="J5" s="2775">
        <v>70</v>
      </c>
      <c r="K5" s="2775">
        <v>60</v>
      </c>
      <c r="L5" s="2775">
        <v>15</v>
      </c>
      <c r="M5" s="2775">
        <v>25</v>
      </c>
      <c r="N5" s="2763">
        <v>40</v>
      </c>
      <c r="O5" s="2763">
        <v>50</v>
      </c>
      <c r="P5" s="2763">
        <v>40</v>
      </c>
      <c r="Q5" s="2763">
        <v>15</v>
      </c>
      <c r="R5" s="2763">
        <v>315</v>
      </c>
    </row>
    <row r="6" spans="1:18">
      <c r="A6" s="2764">
        <v>50</v>
      </c>
      <c r="B6" s="2761">
        <v>50028</v>
      </c>
      <c r="C6" s="2763">
        <f>ROUNDDOWN(MIN((B6-B3)/365,A6),2)</f>
        <v>13.09</v>
      </c>
      <c r="D6" s="2765">
        <f>IF(ISERROR(ROUND(POWER(1+E6,A6-C6)*(POWER(1+E6,C6)-1)/(POWER(1+E6,A6)-1),3)),0,ROUND(POWER(1+E6,A6-C6)*(POWER(1+E6,C6)-1)/(POWER(1+E6,A6)-1),4))</f>
        <v>0.46729999999999999</v>
      </c>
      <c r="E6" s="2766">
        <v>0.04</v>
      </c>
      <c r="F6" s="2759"/>
      <c r="I6" s="2775" t="s">
        <v>2586</v>
      </c>
      <c r="J6" s="2775">
        <v>60</v>
      </c>
      <c r="K6" s="2775">
        <v>50</v>
      </c>
      <c r="L6" s="2775">
        <v>10</v>
      </c>
      <c r="M6" s="2775">
        <v>20</v>
      </c>
      <c r="N6" s="2763">
        <v>35</v>
      </c>
      <c r="O6" s="2763">
        <v>40</v>
      </c>
      <c r="P6" s="2763">
        <v>30</v>
      </c>
      <c r="Q6" s="2763">
        <v>10</v>
      </c>
      <c r="R6" s="2763">
        <v>255</v>
      </c>
    </row>
    <row r="7" spans="1:18">
      <c r="A7" s="2764">
        <v>70</v>
      </c>
      <c r="B7" s="2761">
        <v>57333</v>
      </c>
      <c r="C7" s="2763">
        <f>ROUNDDOWN(MIN((B7-B3)/365,A7),2)</f>
        <v>33.11</v>
      </c>
      <c r="D7" s="2765">
        <f>IF(ISERROR(ROUND(POWER(1+E7,A7-C7)*(POWER(1+E7,C7)-1)/(POWER(1+E7,A7)-1),3)),0,ROUND(POWER(1+E7,A7-C7)*(POWER(1+E7,C7)-1)/(POWER(1+E7,A7)-1),4))</f>
        <v>0.77700000000000002</v>
      </c>
      <c r="E7" s="2766">
        <v>0.04</v>
      </c>
      <c r="F7" s="2759"/>
    </row>
    <row r="8" spans="1:18">
      <c r="A8" s="2757"/>
      <c r="B8" s="2758"/>
      <c r="C8" s="2758"/>
      <c r="D8" s="2758"/>
      <c r="E8" s="2758"/>
      <c r="F8" s="2759"/>
    </row>
    <row r="9" spans="1:18">
      <c r="A9" s="2760" t="s">
        <v>2510</v>
      </c>
      <c r="B9" s="2763"/>
      <c r="C9" s="2763"/>
      <c r="D9" s="2763"/>
      <c r="E9" s="2763"/>
      <c r="F9" s="2767"/>
    </row>
    <row r="10" spans="1:18">
      <c r="A10" s="2760" t="s">
        <v>2511</v>
      </c>
      <c r="B10" s="2763"/>
      <c r="C10" s="2763"/>
      <c r="D10" s="2763" t="s">
        <v>2509</v>
      </c>
      <c r="E10" s="2763"/>
      <c r="F10" s="2767" t="s">
        <v>2508</v>
      </c>
    </row>
    <row r="11" spans="1:18">
      <c r="A11" s="2760" t="s">
        <v>2512</v>
      </c>
      <c r="B11" s="2768">
        <v>70</v>
      </c>
      <c r="C11" s="2763" t="s">
        <v>2513</v>
      </c>
      <c r="D11" s="2768">
        <v>4.4999999999999998E-2</v>
      </c>
      <c r="E11" s="2763" t="s">
        <v>2514</v>
      </c>
      <c r="F11" s="2769">
        <f>ROUND(1-(1/(POWER(1+D11,B11))),4)</f>
        <v>0.95409999999999995</v>
      </c>
    </row>
    <row r="12" spans="1:18">
      <c r="A12" s="2760" t="s">
        <v>2515</v>
      </c>
      <c r="B12" s="2768">
        <v>40</v>
      </c>
      <c r="C12" s="2763" t="s">
        <v>2516</v>
      </c>
      <c r="D12" s="2768">
        <v>4.4999999999999998E-2</v>
      </c>
      <c r="E12" s="2763" t="s">
        <v>2517</v>
      </c>
      <c r="F12" s="2769">
        <f>ROUND(1-(1/(POWER(1+D12,B12))),4)</f>
        <v>0.82809999999999995</v>
      </c>
    </row>
    <row r="13" spans="1:18">
      <c r="A13" s="2760" t="s">
        <v>2518</v>
      </c>
      <c r="B13" s="2763"/>
      <c r="C13" s="2763"/>
      <c r="D13" s="2758"/>
      <c r="E13" s="2758"/>
      <c r="F13" s="2759"/>
    </row>
    <row r="14" spans="1:18">
      <c r="A14" s="2760" t="s">
        <v>2519</v>
      </c>
      <c r="B14" s="2768">
        <v>5000</v>
      </c>
      <c r="C14" s="2762"/>
      <c r="D14" s="2758"/>
      <c r="E14" s="2758"/>
      <c r="F14" s="2759"/>
    </row>
    <row r="15" spans="1:18">
      <c r="A15" s="2760" t="s">
        <v>2520</v>
      </c>
      <c r="B15" s="2763">
        <f>ROUND(B14*F12/F11,2)</f>
        <v>4339.6899999999996</v>
      </c>
      <c r="C15" s="2763">
        <f>ROUND(F12/F11,4)</f>
        <v>0.8679</v>
      </c>
      <c r="D15" s="2758"/>
      <c r="E15" s="2758"/>
      <c r="F15" s="2759"/>
    </row>
    <row r="16" spans="1:18">
      <c r="A16" s="2760" t="s">
        <v>2521</v>
      </c>
      <c r="B16" s="2763"/>
      <c r="C16" s="2763"/>
      <c r="D16" s="2758"/>
      <c r="E16" s="2758"/>
      <c r="F16" s="2759"/>
    </row>
    <row r="17" spans="1:13">
      <c r="A17" s="2760" t="s">
        <v>2520</v>
      </c>
      <c r="B17" s="2768">
        <v>4810</v>
      </c>
      <c r="C17" s="2762"/>
      <c r="D17" s="2758"/>
      <c r="E17" s="2758"/>
      <c r="F17" s="2759"/>
    </row>
    <row r="18" spans="1:13" ht="14.25" thickBot="1">
      <c r="A18" s="2770" t="s">
        <v>2519</v>
      </c>
      <c r="B18" s="2771">
        <f>ROUND(B17*F11/F12,2)</f>
        <v>5541.87</v>
      </c>
      <c r="C18" s="2771">
        <f>ROUND(F11/F12,4)</f>
        <v>1.1521999999999999</v>
      </c>
      <c r="D18" s="2772"/>
      <c r="E18" s="2772"/>
      <c r="F18" s="2773"/>
    </row>
    <row r="19" spans="1:13" ht="14.25" thickBot="1"/>
    <row r="20" spans="1:13" s="2806" customFormat="1" ht="14.25" thickTop="1">
      <c r="A20" s="2803" t="s">
        <v>2522</v>
      </c>
      <c r="B20" s="2804"/>
      <c r="C20" s="2804"/>
      <c r="D20" s="2804"/>
      <c r="E20" s="2804"/>
      <c r="F20" s="2804"/>
      <c r="G20" s="2805"/>
      <c r="I20" s="2807" t="s">
        <v>2567</v>
      </c>
      <c r="J20" s="2807" t="s">
        <v>2572</v>
      </c>
      <c r="K20" s="2807"/>
      <c r="L20" s="2807"/>
      <c r="M20" s="2807"/>
    </row>
    <row r="21" spans="1:13">
      <c r="A21" s="2774"/>
      <c r="B21" s="2775" t="s">
        <v>2523</v>
      </c>
      <c r="C21" s="2775" t="s">
        <v>2524</v>
      </c>
      <c r="D21" s="2775" t="s">
        <v>2525</v>
      </c>
      <c r="E21" s="2775" t="s">
        <v>2526</v>
      </c>
      <c r="F21" s="2775" t="s">
        <v>2527</v>
      </c>
      <c r="G21" s="2776" t="s">
        <v>2528</v>
      </c>
      <c r="I21" s="2797">
        <v>5</v>
      </c>
      <c r="J21" s="2797">
        <v>54.2</v>
      </c>
    </row>
    <row r="22" spans="1:13">
      <c r="A22" s="2774" t="s">
        <v>2529</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3">
      <c r="A23" s="2774" t="s">
        <v>2530</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2570</v>
      </c>
      <c r="M23" s="2797" t="s">
        <v>2571</v>
      </c>
    </row>
    <row r="24" spans="1:13">
      <c r="A24" s="2774" t="s">
        <v>2531</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2569</v>
      </c>
      <c r="M24" s="2797">
        <v>10</v>
      </c>
    </row>
    <row r="25" spans="1:13">
      <c r="A25" s="2774" t="s">
        <v>2532</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2573</v>
      </c>
      <c r="M25" s="2797">
        <v>8</v>
      </c>
    </row>
    <row r="26" spans="1:13">
      <c r="A26" s="2779"/>
      <c r="B26" s="2780"/>
      <c r="C26" s="2780"/>
      <c r="D26" s="2780"/>
      <c r="E26" s="2780"/>
      <c r="F26" s="2780"/>
      <c r="G26" s="2781"/>
      <c r="I26" s="2797">
        <v>30</v>
      </c>
      <c r="J26" s="2797">
        <v>90.5</v>
      </c>
      <c r="K26" s="2797">
        <f t="shared" si="2"/>
        <v>4.2000000000000028</v>
      </c>
      <c r="L26" s="2797" t="s">
        <v>2574</v>
      </c>
      <c r="M26" s="2797">
        <v>5</v>
      </c>
    </row>
    <row r="27" spans="1:13">
      <c r="A27" s="2779" t="s">
        <v>2533</v>
      </c>
      <c r="B27" s="2780"/>
      <c r="C27" s="2780"/>
      <c r="D27" s="2780"/>
      <c r="E27" s="2780"/>
      <c r="F27" s="2780"/>
      <c r="G27" s="2781"/>
      <c r="I27" s="2797">
        <v>35</v>
      </c>
      <c r="J27" s="2797">
        <v>93.8</v>
      </c>
      <c r="K27" s="2797">
        <f t="shared" si="2"/>
        <v>3.2999999999999972</v>
      </c>
      <c r="L27" s="2797" t="s">
        <v>2575</v>
      </c>
      <c r="M27" s="2797">
        <v>3</v>
      </c>
    </row>
    <row r="28" spans="1:13">
      <c r="A28" s="2779" t="s">
        <v>2534</v>
      </c>
      <c r="B28" s="2780"/>
      <c r="C28" s="2780"/>
      <c r="D28" s="2780"/>
      <c r="E28" s="2780"/>
      <c r="F28" s="2780"/>
      <c r="G28" s="2781"/>
      <c r="I28" s="2797">
        <v>40</v>
      </c>
      <c r="J28" s="2797">
        <v>96.4</v>
      </c>
      <c r="K28" s="2797">
        <f t="shared" si="2"/>
        <v>2.6000000000000085</v>
      </c>
      <c r="L28" s="2797" t="s">
        <v>2576</v>
      </c>
      <c r="M28" s="2797">
        <v>2</v>
      </c>
    </row>
    <row r="29" spans="1:13">
      <c r="A29" s="2779" t="s">
        <v>2535</v>
      </c>
      <c r="B29" s="2780"/>
      <c r="C29" s="2780"/>
      <c r="D29" s="2780"/>
      <c r="E29" s="2780"/>
      <c r="F29" s="2780"/>
      <c r="G29" s="2781"/>
      <c r="I29" s="2797">
        <v>45</v>
      </c>
      <c r="J29" s="2797">
        <v>98.4</v>
      </c>
      <c r="K29" s="2797">
        <f t="shared" si="2"/>
        <v>2</v>
      </c>
    </row>
    <row r="30" spans="1:13">
      <c r="A30" s="2779" t="s">
        <v>2536</v>
      </c>
      <c r="B30" s="2780"/>
      <c r="C30" s="2780"/>
      <c r="D30" s="2780"/>
      <c r="E30" s="2780"/>
      <c r="F30" s="2780"/>
      <c r="G30" s="2781"/>
      <c r="I30" s="2797">
        <v>50</v>
      </c>
      <c r="J30" s="2797">
        <v>100</v>
      </c>
      <c r="K30" s="2797">
        <f t="shared" si="2"/>
        <v>1.5999999999999943</v>
      </c>
    </row>
    <row r="31" spans="1:13">
      <c r="A31" s="2779" t="s">
        <v>2537</v>
      </c>
      <c r="B31" s="2780"/>
      <c r="C31" s="2780"/>
      <c r="D31" s="2780"/>
      <c r="E31" s="2780"/>
      <c r="F31" s="2780"/>
      <c r="G31" s="2781"/>
      <c r="I31" s="2797" t="s">
        <v>2568</v>
      </c>
    </row>
    <row r="32" spans="1:13">
      <c r="A32" s="2779" t="s">
        <v>2538</v>
      </c>
      <c r="B32" s="2780"/>
      <c r="C32" s="2780"/>
      <c r="D32" s="2780"/>
      <c r="E32" s="2780"/>
      <c r="F32" s="2780"/>
      <c r="G32" s="2781"/>
    </row>
    <row r="33" spans="1:13">
      <c r="A33" s="2779" t="s">
        <v>2539</v>
      </c>
      <c r="B33" s="2780"/>
      <c r="C33" s="2780"/>
      <c r="D33" s="2780"/>
      <c r="E33" s="2780"/>
      <c r="F33" s="2780"/>
      <c r="G33" s="2781"/>
      <c r="I33" s="2797" t="s">
        <v>2567</v>
      </c>
      <c r="J33" s="2797" t="s">
        <v>2577</v>
      </c>
    </row>
    <row r="34" spans="1:13">
      <c r="A34" s="2779" t="s">
        <v>2540</v>
      </c>
      <c r="B34" s="2780"/>
      <c r="C34" s="2780"/>
      <c r="D34" s="2780"/>
      <c r="E34" s="2780"/>
      <c r="F34" s="2780"/>
      <c r="G34" s="2781"/>
      <c r="I34" s="2797">
        <v>5</v>
      </c>
      <c r="J34" s="2797">
        <v>55.1</v>
      </c>
    </row>
    <row r="35" spans="1:13">
      <c r="A35" s="2779" t="s">
        <v>2541</v>
      </c>
      <c r="B35" s="2780"/>
      <c r="C35" s="2780"/>
      <c r="D35" s="2780"/>
      <c r="E35" s="2780"/>
      <c r="F35" s="2780"/>
      <c r="G35" s="2781"/>
      <c r="I35" s="2797">
        <v>10</v>
      </c>
      <c r="J35" s="2797">
        <v>67</v>
      </c>
      <c r="K35" s="2797">
        <f>J35-J34</f>
        <v>11.899999999999999</v>
      </c>
    </row>
    <row r="36" spans="1:13">
      <c r="A36" s="2779" t="s">
        <v>2542</v>
      </c>
      <c r="B36" s="2780"/>
      <c r="C36" s="2780"/>
      <c r="D36" s="2780"/>
      <c r="E36" s="2780"/>
      <c r="F36" s="2780"/>
      <c r="G36" s="2781"/>
      <c r="I36" s="2797">
        <v>15</v>
      </c>
      <c r="J36" s="2797">
        <v>76.3</v>
      </c>
      <c r="K36" s="2797">
        <f t="shared" ref="K36:K41" si="3">J36-J35</f>
        <v>9.2999999999999972</v>
      </c>
      <c r="L36" s="2797" t="s">
        <v>2570</v>
      </c>
      <c r="M36" s="2797" t="s">
        <v>2571</v>
      </c>
    </row>
    <row r="37" spans="1:13">
      <c r="A37" s="2779" t="s">
        <v>2543</v>
      </c>
      <c r="B37" s="2780"/>
      <c r="C37" s="2780"/>
      <c r="D37" s="2780"/>
      <c r="E37" s="2780"/>
      <c r="F37" s="2780"/>
      <c r="G37" s="2781"/>
      <c r="I37" s="2797">
        <v>20</v>
      </c>
      <c r="J37" s="2797">
        <v>83.6</v>
      </c>
      <c r="K37" s="2797">
        <f t="shared" si="3"/>
        <v>7.2999999999999972</v>
      </c>
      <c r="L37" s="2797" t="s">
        <v>2569</v>
      </c>
      <c r="M37" s="2797">
        <v>10</v>
      </c>
    </row>
    <row r="38" spans="1:13">
      <c r="A38" s="2779" t="s">
        <v>2544</v>
      </c>
      <c r="B38" s="2780"/>
      <c r="C38" s="2780"/>
      <c r="D38" s="2780"/>
      <c r="E38" s="2780"/>
      <c r="F38" s="2780"/>
      <c r="G38" s="2781"/>
      <c r="I38" s="2797">
        <v>25</v>
      </c>
      <c r="J38" s="2797">
        <v>89.3</v>
      </c>
      <c r="K38" s="2797">
        <f t="shared" si="3"/>
        <v>5.7000000000000028</v>
      </c>
      <c r="L38" s="2797" t="s">
        <v>2573</v>
      </c>
      <c r="M38" s="2797">
        <v>8</v>
      </c>
    </row>
    <row r="39" spans="1:13">
      <c r="A39" s="2779"/>
      <c r="B39" s="2780"/>
      <c r="C39" s="2780"/>
      <c r="D39" s="2780"/>
      <c r="E39" s="2780"/>
      <c r="F39" s="2780"/>
      <c r="G39" s="2781"/>
      <c r="I39" s="2797">
        <v>30</v>
      </c>
      <c r="J39" s="2797">
        <v>93.8</v>
      </c>
      <c r="K39" s="2797">
        <f t="shared" si="3"/>
        <v>4.5</v>
      </c>
      <c r="L39" s="2797" t="s">
        <v>2574</v>
      </c>
      <c r="M39" s="2797">
        <v>6</v>
      </c>
    </row>
    <row r="40" spans="1:13">
      <c r="A40" s="2782" t="s">
        <v>2545</v>
      </c>
      <c r="B40" s="2783"/>
      <c r="C40" s="2783"/>
      <c r="D40" s="2783"/>
      <c r="E40" s="2783"/>
      <c r="F40" s="2783"/>
      <c r="G40" s="2784"/>
      <c r="I40" s="2797">
        <v>35</v>
      </c>
      <c r="J40" s="2797">
        <v>97.2</v>
      </c>
      <c r="K40" s="2797">
        <f t="shared" si="3"/>
        <v>3.4000000000000057</v>
      </c>
      <c r="L40" s="2797" t="s">
        <v>2575</v>
      </c>
      <c r="M40" s="2797">
        <v>3</v>
      </c>
    </row>
    <row r="41" spans="1:13">
      <c r="A41" s="2785" t="s">
        <v>2546</v>
      </c>
      <c r="B41" s="2786" t="s">
        <v>2547</v>
      </c>
      <c r="C41" s="2787" t="s">
        <v>2548</v>
      </c>
      <c r="D41" s="2787" t="s">
        <v>2549</v>
      </c>
      <c r="E41" s="2788"/>
      <c r="F41" s="2789"/>
      <c r="G41" s="2790"/>
      <c r="I41" s="2797">
        <v>40</v>
      </c>
      <c r="J41" s="2797">
        <v>100</v>
      </c>
      <c r="K41" s="2797">
        <f t="shared" si="3"/>
        <v>2.7999999999999972</v>
      </c>
    </row>
    <row r="42" spans="1:13">
      <c r="A42" s="2785" t="s">
        <v>2550</v>
      </c>
      <c r="B42" s="2786" t="s">
        <v>2551</v>
      </c>
      <c r="C42" s="2787" t="s">
        <v>2552</v>
      </c>
      <c r="D42" s="2791" t="s">
        <v>2553</v>
      </c>
      <c r="E42" s="2783" t="s">
        <v>2554</v>
      </c>
      <c r="F42" s="2783"/>
      <c r="G42" s="2784"/>
    </row>
    <row r="43" spans="1:13">
      <c r="A43" s="2785" t="s">
        <v>2555</v>
      </c>
      <c r="B43" s="2786" t="s">
        <v>2556</v>
      </c>
      <c r="C43" s="2787" t="s">
        <v>2557</v>
      </c>
      <c r="D43" s="2787" t="s">
        <v>2558</v>
      </c>
      <c r="E43" s="2788" t="s">
        <v>2559</v>
      </c>
      <c r="F43" s="2789"/>
      <c r="G43" s="2790"/>
      <c r="I43" s="2797" t="s">
        <v>2567</v>
      </c>
      <c r="J43" s="2797" t="s">
        <v>2578</v>
      </c>
    </row>
    <row r="44" spans="1:13">
      <c r="A44" s="2785" t="s">
        <v>2560</v>
      </c>
      <c r="B44" s="2786" t="s">
        <v>2561</v>
      </c>
      <c r="C44" s="2787" t="s">
        <v>2562</v>
      </c>
      <c r="D44" s="2791">
        <v>0.5</v>
      </c>
      <c r="E44" s="2788" t="s">
        <v>2563</v>
      </c>
      <c r="F44" s="2789"/>
      <c r="G44" s="2790"/>
      <c r="I44" s="2797">
        <v>30</v>
      </c>
      <c r="J44" s="2797">
        <v>81.7</v>
      </c>
    </row>
    <row r="45" spans="1:13" ht="14.25" thickBot="1">
      <c r="A45" s="2792" t="s">
        <v>2564</v>
      </c>
      <c r="B45" s="2793" t="s">
        <v>2551</v>
      </c>
      <c r="C45" s="2794" t="s">
        <v>2551</v>
      </c>
      <c r="D45" s="2794" t="s">
        <v>2565</v>
      </c>
      <c r="E45" s="2795" t="s">
        <v>2566</v>
      </c>
      <c r="F45" s="2795"/>
      <c r="G45" s="2796"/>
      <c r="I45" s="2797">
        <v>40</v>
      </c>
      <c r="J45" s="2797">
        <v>89.2</v>
      </c>
      <c r="K45" s="2797">
        <f>J45-J44</f>
        <v>7.5</v>
      </c>
    </row>
    <row r="46" spans="1:13">
      <c r="I46" s="2797">
        <v>50</v>
      </c>
      <c r="J46" s="2797">
        <v>94.3</v>
      </c>
      <c r="K46" s="2797">
        <f t="shared" ref="K46:K47" si="4">J46-J45</f>
        <v>5.0999999999999943</v>
      </c>
    </row>
    <row r="47" spans="1:13">
      <c r="I47" s="2797">
        <v>60</v>
      </c>
      <c r="J47" s="2797">
        <v>97.7</v>
      </c>
      <c r="K47" s="279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42" sqref="D42"/>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0" t="s">
        <v>2168</v>
      </c>
      <c r="B1" s="3223" t="str">
        <f>IF(B10="北京市","北京市",C10)&amp;F10&amp;IF(结果表!G1="在建","出让国有建设用地使用权及在建建筑物",IF(结果表!G1="土地","出让国有建设用地使用权",))&amp;B9&amp;"预评估"</f>
        <v>北京市房地产市场价值预评估</v>
      </c>
      <c r="C1" s="3224"/>
      <c r="D1" s="3224"/>
      <c r="E1" s="3224"/>
      <c r="F1" s="3224"/>
      <c r="G1" s="3224"/>
      <c r="H1" s="3224"/>
      <c r="I1" s="3225"/>
      <c r="J1" s="2244"/>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81" t="s">
        <v>2169</v>
      </c>
      <c r="B2" s="122"/>
      <c r="D2" s="2446"/>
      <c r="E2" s="2439"/>
      <c r="F2" s="2439"/>
      <c r="G2" s="2440"/>
      <c r="H2" s="2440"/>
      <c r="I2" s="2440"/>
      <c r="J2" s="2244"/>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4">
        <v>45247</v>
      </c>
      <c r="C3" s="2185" t="s">
        <v>2171</v>
      </c>
      <c r="D3" s="2184">
        <f>B3</f>
        <v>45247</v>
      </c>
      <c r="E3" s="2440"/>
      <c r="F3" s="2440"/>
      <c r="G3" s="2440"/>
      <c r="H3" s="2440"/>
      <c r="I3" s="2440"/>
      <c r="J3" s="2244"/>
      <c r="K3" s="2182"/>
      <c r="L3" s="2183"/>
      <c r="M3" s="2183"/>
      <c r="N3" s="2181"/>
      <c r="O3" s="1466"/>
      <c r="P3" s="2181"/>
      <c r="Q3" s="2181"/>
      <c r="R3" s="2181"/>
      <c r="S3" s="1561"/>
      <c r="T3" s="1618"/>
      <c r="U3" s="1618"/>
      <c r="V3" s="1618"/>
      <c r="W3" s="1618"/>
      <c r="X3" s="1618"/>
      <c r="Y3" s="1618"/>
      <c r="Z3" s="1618"/>
      <c r="AA3" s="1618"/>
      <c r="AB3" s="1618"/>
    </row>
    <row r="4" spans="1:30" ht="13.5"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6"/>
      <c r="P4" s="2181"/>
      <c r="Q4" s="2181"/>
      <c r="R4" s="2181"/>
      <c r="S4" s="1561"/>
      <c r="T4" s="1618"/>
      <c r="U4" s="1618"/>
      <c r="V4" s="1618"/>
      <c r="W4" s="1618"/>
      <c r="X4" s="1618"/>
      <c r="Y4" s="1618"/>
      <c r="Z4" s="1618"/>
      <c r="AA4" s="1618"/>
      <c r="AB4" s="1618"/>
    </row>
    <row r="5" spans="1:30" ht="13.5" thickTop="1">
      <c r="A5" s="2189" t="s">
        <v>2173</v>
      </c>
      <c r="B5" s="2190"/>
      <c r="C5" s="2191"/>
      <c r="D5" s="2192"/>
      <c r="E5" s="2440"/>
      <c r="F5" s="2440"/>
      <c r="G5" s="2440"/>
      <c r="H5" s="2440"/>
      <c r="I5" s="2440"/>
      <c r="J5" s="2244"/>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39"/>
      <c r="F6" s="2440"/>
      <c r="G6" s="2440"/>
      <c r="H6" s="2440"/>
      <c r="I6" s="2440"/>
      <c r="J6" s="2244"/>
      <c r="K6" s="2400" t="str">
        <f>IF(COUNTIF(B6,"*上海银行*"),"上海银行","")</f>
        <v/>
      </c>
      <c r="L6" s="2398"/>
      <c r="M6" s="2398"/>
      <c r="N6" s="2244"/>
      <c r="O6" s="1670"/>
      <c r="P6" s="2244"/>
      <c r="Q6" s="2244"/>
      <c r="R6" s="2244"/>
    </row>
    <row r="7" spans="1:30">
      <c r="A7" s="2193" t="s">
        <v>2175</v>
      </c>
      <c r="B7" s="2197"/>
      <c r="C7" s="2195"/>
      <c r="D7" s="2196"/>
      <c r="E7" s="2439"/>
      <c r="F7" s="2440"/>
      <c r="G7" s="2440"/>
      <c r="H7" s="2440"/>
      <c r="I7" s="2440"/>
      <c r="J7" s="2244"/>
      <c r="K7" s="2401"/>
      <c r="L7" s="2398"/>
      <c r="M7" s="2398"/>
      <c r="N7" s="2244"/>
      <c r="O7" s="1670"/>
      <c r="P7" s="2244"/>
      <c r="Q7" s="2244"/>
      <c r="R7" s="2244"/>
    </row>
    <row r="8" spans="1:30">
      <c r="A8" s="2198" t="s">
        <v>2176</v>
      </c>
      <c r="B8" s="2199" t="s">
        <v>3403</v>
      </c>
      <c r="C8" s="2200"/>
      <c r="D8" s="3226" t="s">
        <v>2177</v>
      </c>
      <c r="E8" s="2201"/>
      <c r="F8" s="2202"/>
      <c r="G8" s="2440"/>
      <c r="H8" s="2440"/>
      <c r="I8" s="2440"/>
      <c r="J8" s="2244"/>
      <c r="K8" s="2399"/>
      <c r="L8" s="2398"/>
      <c r="M8" s="2398"/>
      <c r="N8" s="2244"/>
      <c r="O8" s="1670"/>
      <c r="P8" s="2244"/>
      <c r="Q8" s="2244"/>
      <c r="R8" s="2244"/>
    </row>
    <row r="9" spans="1:30" ht="13.5" thickBot="1">
      <c r="A9" s="2203" t="s">
        <v>2178</v>
      </c>
      <c r="B9" s="2204" t="s">
        <v>3404</v>
      </c>
      <c r="C9" s="2205"/>
      <c r="D9" s="3227"/>
      <c r="E9" s="2204"/>
      <c r="F9" s="2206"/>
      <c r="G9" s="2441"/>
      <c r="H9" s="2441"/>
      <c r="I9" s="2441"/>
      <c r="J9" s="2244"/>
      <c r="K9" s="2401"/>
      <c r="L9" s="2398"/>
      <c r="M9" s="2398"/>
      <c r="N9" s="2244"/>
      <c r="O9" s="1670"/>
      <c r="P9" s="2244"/>
      <c r="Q9" s="2244"/>
      <c r="R9" s="2244"/>
    </row>
    <row r="10" spans="1:30" ht="13.5" thickTop="1">
      <c r="A10" s="2207" t="s">
        <v>2179</v>
      </c>
      <c r="B10" s="2208" t="s">
        <v>3405</v>
      </c>
      <c r="C10" s="2209"/>
      <c r="D10" s="2192"/>
      <c r="E10" s="2210" t="s">
        <v>2180</v>
      </c>
      <c r="F10" s="2442"/>
      <c r="G10" s="2443"/>
      <c r="H10" s="2444"/>
      <c r="I10" s="2445"/>
      <c r="J10" s="2244"/>
      <c r="K10" s="2401"/>
      <c r="L10" s="2398"/>
      <c r="M10" s="2398"/>
      <c r="N10" s="2244"/>
      <c r="O10" s="1670"/>
      <c r="P10" s="2244"/>
      <c r="Q10" s="2244"/>
      <c r="R10" s="2244"/>
    </row>
    <row r="11" spans="1:30">
      <c r="A11" s="2211" t="s">
        <v>2181</v>
      </c>
      <c r="B11" s="2212" t="s">
        <v>3406</v>
      </c>
      <c r="C11" s="2213"/>
      <c r="D11" s="2214"/>
      <c r="E11" s="2181"/>
      <c r="F11" s="2181"/>
      <c r="G11" s="2181"/>
      <c r="H11" s="2181"/>
      <c r="I11" s="2181"/>
      <c r="J11" s="2799"/>
      <c r="K11" s="2398"/>
      <c r="L11" s="2398"/>
      <c r="M11" s="2398"/>
      <c r="N11" s="2244"/>
      <c r="O11" s="1670"/>
      <c r="P11" s="2244"/>
      <c r="Q11" s="2244"/>
      <c r="R11" s="2244"/>
    </row>
    <row r="12" spans="1:30">
      <c r="A12" s="2215" t="s">
        <v>2182</v>
      </c>
      <c r="B12" s="315" t="s">
        <v>2183</v>
      </c>
      <c r="C12" s="2216" t="s">
        <v>2184</v>
      </c>
      <c r="D12" s="2216" t="s">
        <v>2185</v>
      </c>
      <c r="E12" s="2216" t="s">
        <v>2186</v>
      </c>
      <c r="F12" s="2216" t="s">
        <v>2187</v>
      </c>
      <c r="G12" s="2216" t="s">
        <v>2188</v>
      </c>
      <c r="H12" s="2216" t="s">
        <v>2189</v>
      </c>
      <c r="I12" s="2798" t="s">
        <v>2579</v>
      </c>
      <c r="J12" s="2800"/>
      <c r="K12" s="2398" t="s">
        <v>3408</v>
      </c>
      <c r="L12" s="2398"/>
      <c r="M12" s="2244"/>
      <c r="N12" s="1670"/>
      <c r="O12" s="2244"/>
      <c r="P12" s="2244"/>
      <c r="Q12" s="2244"/>
      <c r="AD12" s="1618"/>
    </row>
    <row r="13" spans="1:30">
      <c r="A13" s="3119" t="s">
        <v>3335</v>
      </c>
      <c r="B13" s="2217" t="s">
        <v>2190</v>
      </c>
      <c r="C13" s="803"/>
      <c r="D13" s="803">
        <v>53643</v>
      </c>
      <c r="E13" s="803"/>
      <c r="F13" s="803"/>
      <c r="G13" s="803"/>
      <c r="H13" s="803"/>
      <c r="I13" s="803"/>
      <c r="J13" s="2800"/>
      <c r="K13" s="2398" t="s">
        <v>3407</v>
      </c>
      <c r="L13" s="2398"/>
      <c r="M13" s="2244"/>
      <c r="N13" s="1670"/>
      <c r="O13" s="2244"/>
      <c r="P13" s="2244"/>
      <c r="Q13" s="2244"/>
      <c r="AD13" s="1618"/>
    </row>
    <row r="14" spans="1:30">
      <c r="A14" s="1018"/>
      <c r="B14" s="2217" t="s">
        <v>2191</v>
      </c>
      <c r="C14" s="2218"/>
      <c r="D14" s="2218">
        <v>40</v>
      </c>
      <c r="E14" s="2218"/>
      <c r="F14" s="2218"/>
      <c r="G14" s="2218"/>
      <c r="H14" s="2218"/>
      <c r="I14" s="2218"/>
      <c r="J14" s="2801"/>
      <c r="K14" s="2398"/>
      <c r="L14" s="2398"/>
      <c r="M14" s="2244"/>
      <c r="N14" s="1670"/>
      <c r="O14" s="2244"/>
      <c r="P14" s="2244"/>
      <c r="Q14" s="2244"/>
      <c r="AD14" s="1618"/>
    </row>
    <row r="15" spans="1:30">
      <c r="A15" s="312"/>
      <c r="B15" s="2219" t="s">
        <v>2192</v>
      </c>
      <c r="C15" s="2220" t="str">
        <f>IF(A13="出让",IF(C13="","",ROUNDDOWN(MIN((C13-$D$3)/365,C14),2)),C14)</f>
        <v/>
      </c>
      <c r="D15" s="2220">
        <f>IF(A13="出让",IF(D13="","",ROUNDDOWN(MIN((D13-$D$3)/365,D14),2)),D14)</f>
        <v>23</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2"/>
      <c r="K15" s="1670"/>
      <c r="L15" s="1670"/>
      <c r="M15" s="2244"/>
      <c r="N15" s="1670"/>
      <c r="O15" s="2244"/>
      <c r="P15" s="2244"/>
      <c r="Q15" s="2244"/>
      <c r="AD15" s="1618"/>
    </row>
    <row r="16" spans="1:30">
      <c r="A16" s="2210" t="s">
        <v>2193</v>
      </c>
      <c r="B16" s="3233"/>
      <c r="C16" s="3234"/>
      <c r="D16" s="3235"/>
      <c r="E16" s="2221" t="s">
        <v>2194</v>
      </c>
      <c r="F16" s="3236"/>
      <c r="G16" s="3237"/>
      <c r="H16" s="3237"/>
      <c r="I16" s="3238"/>
      <c r="J16" s="2244"/>
      <c r="K16" s="2402"/>
      <c r="L16" s="1670"/>
      <c r="M16" s="1670"/>
      <c r="N16" s="2244"/>
      <c r="O16" s="1670"/>
      <c r="P16" s="2244"/>
      <c r="Q16" s="2244"/>
      <c r="R16" s="2244"/>
    </row>
    <row r="17" spans="1:28">
      <c r="A17" s="305" t="s">
        <v>2195</v>
      </c>
      <c r="B17" s="294" t="s">
        <v>2196</v>
      </c>
      <c r="C17" s="8">
        <f>'数据-汇总表'!E3</f>
        <v>69.63</v>
      </c>
      <c r="D17" s="1256" t="s">
        <v>2197</v>
      </c>
      <c r="E17" s="3239" t="s">
        <v>2198</v>
      </c>
      <c r="F17" s="3240"/>
      <c r="G17" s="3240"/>
      <c r="H17" s="3240"/>
      <c r="I17" s="3241"/>
      <c r="J17" s="2244"/>
      <c r="K17" s="2403"/>
      <c r="L17" s="1670"/>
      <c r="M17" s="1670"/>
      <c r="N17" s="2244"/>
      <c r="O17" s="1670"/>
      <c r="P17" s="2244"/>
      <c r="Q17" s="2244"/>
      <c r="R17" s="2244"/>
      <c r="S17" s="2244"/>
      <c r="T17" s="2244"/>
      <c r="U17" s="2244"/>
      <c r="V17" s="2244"/>
    </row>
    <row r="18" spans="1:28" ht="24.75" thickBot="1">
      <c r="A18" s="2222" t="s">
        <v>2199</v>
      </c>
      <c r="B18" s="1027" t="s">
        <v>2200</v>
      </c>
      <c r="C18" s="2223">
        <f>'数据-汇总表'!D3</f>
        <v>0</v>
      </c>
      <c r="D18" s="1029" t="s">
        <v>2201</v>
      </c>
      <c r="E18" s="3242" t="s">
        <v>2202</v>
      </c>
      <c r="F18" s="3243"/>
      <c r="G18" s="3243"/>
      <c r="H18" s="3243"/>
      <c r="I18" s="3244"/>
      <c r="J18" s="2244"/>
      <c r="K18" s="2403"/>
      <c r="L18" s="1670"/>
      <c r="M18" s="1670"/>
      <c r="N18" s="2244"/>
      <c r="O18" s="1670"/>
      <c r="P18" s="2244"/>
      <c r="Q18" s="2244"/>
      <c r="R18" s="2244"/>
      <c r="S18" s="2244"/>
      <c r="T18" s="2244"/>
      <c r="U18" s="2244"/>
      <c r="V18" s="2244"/>
    </row>
    <row r="19" spans="1:28" ht="37.5" thickTop="1" thickBot="1">
      <c r="A19" s="319" t="s">
        <v>1055</v>
      </c>
      <c r="B19" s="299" t="s">
        <v>2203</v>
      </c>
      <c r="C19" s="1455"/>
      <c r="D19" s="1456" t="s">
        <v>2204</v>
      </c>
      <c r="E19" s="1457"/>
      <c r="F19" s="1458" t="str">
        <f>IF(AND(C19="是",E19="否"),"是否提供他项权证或相关说明","")</f>
        <v/>
      </c>
      <c r="G19" s="1459"/>
      <c r="H19" s="2440"/>
      <c r="I19" s="2440"/>
      <c r="J19" s="2244"/>
      <c r="K19" s="2401"/>
      <c r="L19" s="2398"/>
      <c r="M19" s="2398"/>
      <c r="N19" s="2244"/>
      <c r="O19" s="1670"/>
      <c r="P19" s="2244"/>
      <c r="Q19" s="2244"/>
      <c r="R19" s="2244"/>
      <c r="S19" s="2244"/>
      <c r="T19" s="2244"/>
      <c r="U19" s="2244"/>
      <c r="V19" s="2244"/>
    </row>
    <row r="20" spans="1:28">
      <c r="A20" s="2416" t="s">
        <v>2205</v>
      </c>
      <c r="B20" s="3229" t="s">
        <v>2206</v>
      </c>
      <c r="C20" s="3230"/>
      <c r="D20" s="3231" t="s">
        <v>2207</v>
      </c>
      <c r="E20" s="3232"/>
      <c r="F20" s="2429" t="s">
        <v>1056</v>
      </c>
      <c r="G20" s="2440"/>
      <c r="H20" s="2440"/>
      <c r="I20" s="2440"/>
      <c r="J20" s="2244"/>
      <c r="K20" s="3228"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6"/>
      <c r="P20" s="2181"/>
      <c r="Q20" s="2181"/>
      <c r="R20" s="2181"/>
      <c r="S20" s="2181"/>
      <c r="T20" s="2181"/>
      <c r="U20" s="2181"/>
      <c r="V20" s="2181"/>
      <c r="W20" s="1618"/>
      <c r="X20" s="1618"/>
      <c r="Y20" s="1618"/>
      <c r="Z20" s="1618"/>
      <c r="AA20" s="1618"/>
      <c r="AB20" s="1618"/>
    </row>
    <row r="21" spans="1:28" ht="24.75" thickBot="1">
      <c r="A21" s="2416"/>
      <c r="B21" s="2417" t="s">
        <v>2209</v>
      </c>
      <c r="C21" s="2295" t="s">
        <v>1057</v>
      </c>
      <c r="D21" s="1460" t="s">
        <v>2210</v>
      </c>
      <c r="E21" s="2418" t="s">
        <v>1057</v>
      </c>
      <c r="F21" s="2430"/>
      <c r="G21" s="2440"/>
      <c r="H21" s="2440"/>
      <c r="I21" s="2440"/>
      <c r="J21" s="2244"/>
      <c r="K21" s="3228"/>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6"/>
      <c r="P21" s="2181"/>
      <c r="Q21" s="2181"/>
      <c r="R21" s="2181"/>
      <c r="S21" s="2181"/>
      <c r="T21" s="2181"/>
      <c r="U21" s="2181"/>
      <c r="V21" s="2181"/>
      <c r="W21" s="1618"/>
      <c r="X21" s="1618"/>
      <c r="Y21" s="1618"/>
      <c r="Z21" s="1618"/>
      <c r="AA21" s="1618"/>
      <c r="AB21" s="1618"/>
    </row>
    <row r="22" spans="1:28" ht="24.75" thickBot="1">
      <c r="A22" s="2416"/>
      <c r="B22" s="2419" t="s">
        <v>2211</v>
      </c>
      <c r="C22" s="2295" t="s">
        <v>1058</v>
      </c>
      <c r="D22" s="2440"/>
      <c r="E22" s="2440"/>
      <c r="F22" s="2440"/>
      <c r="G22" s="2440"/>
      <c r="H22" s="2440"/>
      <c r="I22" s="2440"/>
      <c r="J22" s="2244"/>
      <c r="K22" s="3228"/>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20" t="s">
        <v>2212</v>
      </c>
      <c r="B23" s="2292" t="s">
        <v>2213</v>
      </c>
      <c r="C23" s="2421"/>
      <c r="D23" s="2422" t="s">
        <v>2213</v>
      </c>
      <c r="E23" s="2423"/>
      <c r="F23" s="2440"/>
      <c r="G23" s="2440"/>
      <c r="H23" s="2440"/>
      <c r="I23" s="2440"/>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0"/>
      <c r="G24" s="2440"/>
      <c r="H24" s="2440"/>
      <c r="I24" s="2440"/>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0"/>
      <c r="G25" s="2440"/>
      <c r="H25" s="2440"/>
      <c r="I25" s="2440"/>
      <c r="J25" s="2244"/>
      <c r="K25" s="2401"/>
      <c r="L25" s="2398"/>
      <c r="M25" s="2398"/>
      <c r="N25" s="2244"/>
      <c r="O25" s="1670"/>
      <c r="P25" s="2244"/>
      <c r="Q25" s="2244"/>
      <c r="R25" s="2244"/>
      <c r="S25" s="2244"/>
      <c r="T25" s="2244"/>
      <c r="U25" s="2244"/>
      <c r="V25" s="2244"/>
    </row>
    <row r="26" spans="1:28" ht="13.5" thickBot="1">
      <c r="A26" s="2425"/>
      <c r="B26" s="2426" t="s">
        <v>1061</v>
      </c>
      <c r="C26" s="2427"/>
      <c r="D26" s="2425" t="s">
        <v>1061</v>
      </c>
      <c r="E26" s="2428"/>
      <c r="F26" s="2441"/>
      <c r="G26" s="2441"/>
      <c r="H26" s="2441"/>
      <c r="I26" s="2441"/>
      <c r="J26" s="2244"/>
      <c r="K26" s="2401"/>
      <c r="L26" s="2398"/>
      <c r="M26" s="2398"/>
      <c r="N26" s="2244"/>
      <c r="O26" s="1670"/>
      <c r="P26" s="2244"/>
      <c r="Q26" s="2244"/>
      <c r="R26" s="2244"/>
      <c r="S26" s="2244"/>
      <c r="T26" s="2244"/>
      <c r="U26" s="2244"/>
      <c r="V26" s="2244"/>
    </row>
    <row r="27" spans="1:28" ht="13.5" thickTop="1">
      <c r="A27" s="3217" t="s">
        <v>2214</v>
      </c>
      <c r="B27" s="312" t="s">
        <v>2215</v>
      </c>
      <c r="C27" s="2224"/>
      <c r="D27" s="2225"/>
      <c r="E27" s="2440"/>
      <c r="F27" s="2440"/>
      <c r="G27" s="2440"/>
      <c r="H27" s="2440"/>
      <c r="I27" s="2440"/>
      <c r="J27" s="2244"/>
      <c r="K27" s="2402"/>
      <c r="L27" s="1670"/>
      <c r="M27" s="1670"/>
      <c r="N27" s="2244"/>
      <c r="O27" s="1670"/>
      <c r="P27" s="2244"/>
      <c r="Q27" s="2244"/>
      <c r="R27" s="2244"/>
      <c r="S27" s="2244"/>
      <c r="T27" s="2244"/>
      <c r="U27" s="2244"/>
      <c r="V27" s="2244"/>
    </row>
    <row r="28" spans="1:28">
      <c r="A28" s="3217"/>
      <c r="B28" s="294" t="s">
        <v>2216</v>
      </c>
      <c r="C28" s="2226"/>
      <c r="D28" s="2227"/>
      <c r="E28" s="2440"/>
      <c r="F28" s="2440"/>
      <c r="G28" s="2440"/>
      <c r="H28" s="2440"/>
      <c r="I28" s="2440"/>
      <c r="J28" s="2244"/>
      <c r="K28" s="2401"/>
      <c r="L28" s="2398"/>
      <c r="M28" s="2398"/>
      <c r="N28" s="2244"/>
      <c r="O28" s="1670"/>
      <c r="P28" s="2244"/>
      <c r="Q28" s="2244"/>
      <c r="R28" s="2244"/>
      <c r="S28" s="2244"/>
      <c r="T28" s="2244"/>
      <c r="U28" s="2244"/>
      <c r="V28" s="2244"/>
    </row>
    <row r="29" spans="1:28">
      <c r="A29" s="3217"/>
      <c r="B29" s="294" t="s">
        <v>2217</v>
      </c>
      <c r="C29" s="2228"/>
      <c r="D29" s="2229"/>
      <c r="E29" s="2440"/>
      <c r="F29" s="2440"/>
      <c r="G29" s="2440"/>
      <c r="H29" s="2440"/>
      <c r="I29" s="2440"/>
      <c r="J29" s="2244"/>
      <c r="K29" s="2401"/>
      <c r="L29" s="2398"/>
      <c r="M29" s="2398"/>
      <c r="N29" s="2244"/>
      <c r="O29" s="1670"/>
      <c r="P29" s="2244"/>
      <c r="Q29" s="2244"/>
      <c r="R29" s="2244"/>
      <c r="S29" s="2244"/>
      <c r="T29" s="2244"/>
      <c r="U29" s="2244"/>
      <c r="V29" s="2244"/>
    </row>
    <row r="30" spans="1:28">
      <c r="A30" s="3218"/>
      <c r="B30" s="294" t="s">
        <v>2218</v>
      </c>
      <c r="C30" s="3219"/>
      <c r="D30" s="3220"/>
      <c r="E30" s="2440"/>
      <c r="F30" s="2440"/>
      <c r="G30" s="2440"/>
      <c r="H30" s="2440"/>
      <c r="I30" s="2440"/>
      <c r="J30" s="2244"/>
      <c r="K30" s="2401"/>
      <c r="L30" s="2398"/>
      <c r="M30" s="2398"/>
      <c r="N30" s="2244"/>
      <c r="O30" s="1670"/>
      <c r="P30" s="2244"/>
      <c r="Q30" s="2244"/>
      <c r="R30" s="2244"/>
      <c r="S30" s="2244"/>
      <c r="T30" s="2244"/>
      <c r="U30" s="2244"/>
      <c r="V30" s="2244"/>
    </row>
    <row r="31" spans="1:28">
      <c r="A31" s="3221" t="s">
        <v>2219</v>
      </c>
      <c r="B31" s="2230"/>
      <c r="C31" s="12" t="str">
        <f>IF(B31="现房","成新及维护状况正常否",IF(B31="在建","工程状态是否正常",IF(B31="土地","是否闲置","-")))</f>
        <v>-</v>
      </c>
      <c r="D31" s="1281"/>
      <c r="E31" s="2231"/>
      <c r="F31" s="2440"/>
      <c r="G31" s="2440"/>
      <c r="H31" s="2440"/>
      <c r="I31" s="2440"/>
      <c r="J31" s="2244"/>
      <c r="K31" s="2400"/>
      <c r="L31" s="2398"/>
      <c r="M31" s="2398"/>
      <c r="N31" s="2244"/>
      <c r="O31" s="1670"/>
      <c r="P31" s="2244"/>
      <c r="Q31" s="2244"/>
      <c r="R31" s="2244"/>
      <c r="S31" s="2244"/>
      <c r="T31" s="2244"/>
      <c r="U31" s="2244"/>
      <c r="V31" s="2244"/>
    </row>
    <row r="32" spans="1:28">
      <c r="A32" s="3222"/>
      <c r="B32" s="2230"/>
      <c r="C32" s="12" t="str">
        <f>IF(B32="现房","成新及维护状况是否正常",IF(B32="在建","工程状态是否正常",IF(B32="土地","是否闲置","-")))</f>
        <v>-</v>
      </c>
      <c r="D32" s="1281"/>
      <c r="E32" s="2231"/>
      <c r="F32" s="2440"/>
      <c r="G32" s="2440"/>
      <c r="H32" s="2440"/>
      <c r="I32" s="2440"/>
      <c r="J32" s="2244"/>
      <c r="K32" s="2401"/>
      <c r="L32" s="2398"/>
      <c r="M32" s="2398"/>
      <c r="N32" s="2244"/>
      <c r="O32" s="1670"/>
      <c r="P32" s="2244"/>
      <c r="Q32" s="2244"/>
      <c r="R32" s="2244"/>
      <c r="S32" s="2244"/>
      <c r="T32" s="2244"/>
      <c r="U32" s="2244"/>
      <c r="V32" s="2244"/>
    </row>
    <row r="33" spans="1:30">
      <c r="A33" s="3222"/>
      <c r="B33" s="2233"/>
      <c r="C33" s="1478" t="str">
        <f>IF(B33="现房","成新及维护状况是否正常",IF(B33="在建","工程状态是否正常",IF(B33="土地","是否闲置","-")))</f>
        <v>-</v>
      </c>
      <c r="D33" s="1274"/>
      <c r="E33" s="2234"/>
      <c r="F33" s="2440"/>
      <c r="G33" s="2440"/>
      <c r="H33" s="2440"/>
      <c r="I33" s="2440"/>
      <c r="J33" s="2244"/>
      <c r="K33" s="2401"/>
      <c r="L33" s="2398"/>
      <c r="M33" s="2398"/>
      <c r="N33" s="2244"/>
      <c r="O33" s="1670"/>
      <c r="P33" s="2244"/>
      <c r="Q33" s="2244"/>
      <c r="R33" s="2244"/>
      <c r="S33" s="2244"/>
      <c r="T33" s="2244"/>
      <c r="U33" s="2244"/>
      <c r="V33" s="2244"/>
    </row>
    <row r="34" spans="1:30">
      <c r="A34" s="294" t="s">
        <v>2220</v>
      </c>
      <c r="B34" s="1870"/>
      <c r="C34" s="1870"/>
      <c r="D34" s="1870"/>
      <c r="E34" s="1870"/>
      <c r="F34" s="1870"/>
      <c r="G34" s="1870"/>
      <c r="H34" s="1870"/>
      <c r="I34" s="2440"/>
      <c r="J34" s="2244"/>
      <c r="K34" s="8">
        <f>COUNTIF(B34:H34,"——")</f>
        <v>0</v>
      </c>
      <c r="L34" s="315" t="s">
        <v>2221</v>
      </c>
      <c r="M34" s="315" t="s">
        <v>2222</v>
      </c>
      <c r="N34" s="315" t="s">
        <v>2223</v>
      </c>
      <c r="O34" s="315" t="s">
        <v>2224</v>
      </c>
      <c r="P34" s="315" t="s">
        <v>2225</v>
      </c>
      <c r="Q34" s="315" t="s">
        <v>2226</v>
      </c>
      <c r="R34" s="315" t="s">
        <v>2227</v>
      </c>
      <c r="S34" s="3216" t="s">
        <v>2228</v>
      </c>
      <c r="T34" s="315" t="str">
        <f>NUMBERSTRING(7-K34,1)&amp;"通"</f>
        <v>七通</v>
      </c>
      <c r="U34" s="2244"/>
      <c r="V34" s="2244"/>
    </row>
    <row r="35" spans="1:30">
      <c r="A35" s="2235"/>
      <c r="B35" s="3216" t="s">
        <v>2229</v>
      </c>
      <c r="C35" s="3216"/>
      <c r="D35" s="3216"/>
      <c r="E35" s="3216"/>
      <c r="F35" s="8">
        <f>C10</f>
        <v>0</v>
      </c>
      <c r="G35" s="2440"/>
      <c r="H35" s="2440"/>
      <c r="I35" s="2440"/>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6"/>
      <c r="T35" s="138" t="str">
        <f>IF(T34="一通",L35,IF(T34="二通",M35,IF(T34="三通",N35,IF(T34="四通",O35,IF(T34="五通",P35,IF(T34="六通",Q35,R35))))))</f>
        <v>、、、、、、</v>
      </c>
      <c r="U35" s="2244"/>
      <c r="V35" s="2244"/>
    </row>
    <row r="36" spans="1:30">
      <c r="A36" s="2182"/>
      <c r="B36" s="8" t="s">
        <v>2185</v>
      </c>
      <c r="C36" s="8" t="s">
        <v>2186</v>
      </c>
      <c r="D36" s="8" t="s">
        <v>2184</v>
      </c>
      <c r="E36" s="8" t="s">
        <v>2189</v>
      </c>
      <c r="F36" s="2798" t="s">
        <v>2582</v>
      </c>
      <c r="G36" s="2440"/>
      <c r="H36" s="2440"/>
      <c r="I36" s="2440"/>
      <c r="J36" s="2244"/>
      <c r="K36" s="2401"/>
      <c r="L36" s="2398"/>
      <c r="M36" s="2398"/>
      <c r="N36" s="2244"/>
      <c r="O36" s="1670"/>
      <c r="P36" s="2244"/>
      <c r="Q36" s="2244"/>
      <c r="R36" s="2244"/>
      <c r="S36" s="2244"/>
      <c r="T36" s="2244"/>
      <c r="U36" s="2244"/>
      <c r="V36" s="2244"/>
    </row>
    <row r="37" spans="1:30">
      <c r="A37" s="2414" t="s">
        <v>2230</v>
      </c>
      <c r="B37" s="2236" t="s">
        <v>110</v>
      </c>
      <c r="C37" s="2236"/>
      <c r="D37" s="2236"/>
      <c r="E37" s="2236"/>
      <c r="F37" s="2236"/>
      <c r="G37" s="2440"/>
      <c r="H37" s="2440"/>
      <c r="I37" s="2440"/>
      <c r="J37" s="2244"/>
      <c r="K37" s="2401"/>
      <c r="L37" s="2398"/>
      <c r="M37" s="2398"/>
      <c r="N37" s="2244"/>
      <c r="O37" s="1670"/>
      <c r="P37" s="2244"/>
      <c r="Q37" s="2244"/>
      <c r="R37" s="2244"/>
      <c r="S37" s="2244"/>
      <c r="T37" s="2244"/>
      <c r="U37" s="2244"/>
      <c r="V37" s="2244"/>
    </row>
    <row r="38" spans="1:30" ht="13.5" thickBot="1">
      <c r="A38" s="2415" t="s">
        <v>2231</v>
      </c>
      <c r="B38" s="2237" t="s">
        <v>281</v>
      </c>
      <c r="C38" s="2237"/>
      <c r="D38" s="2237"/>
      <c r="E38" s="2237"/>
      <c r="F38" s="2237"/>
      <c r="G38" s="2441"/>
      <c r="H38" s="2441"/>
      <c r="I38" s="2441"/>
      <c r="J38" s="2244"/>
      <c r="K38" s="2401"/>
      <c r="L38" s="2398"/>
      <c r="M38" s="2398"/>
      <c r="N38" s="2244"/>
      <c r="O38" s="1670"/>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6"/>
      <c r="J40" s="2244"/>
      <c r="K40" s="2400"/>
      <c r="L40" s="1670"/>
      <c r="M40" s="1670"/>
      <c r="N40" s="2244"/>
      <c r="O40" s="1670"/>
      <c r="P40" s="2244"/>
      <c r="Q40" s="2244"/>
      <c r="R40" s="2244"/>
      <c r="S40" s="2244"/>
      <c r="T40" s="2244"/>
      <c r="U40" s="2244"/>
      <c r="V40" s="2244"/>
    </row>
    <row r="41" spans="1:30">
      <c r="A41" s="2241" t="s">
        <v>2233</v>
      </c>
      <c r="B41" s="1627"/>
      <c r="C41" s="1281"/>
      <c r="D41" s="2181"/>
      <c r="E41" s="2181"/>
      <c r="F41" s="2181"/>
      <c r="G41" s="2181"/>
      <c r="H41" s="2181"/>
      <c r="I41" s="1466"/>
      <c r="J41" s="2244"/>
      <c r="K41" s="2401"/>
      <c r="L41" s="2398"/>
      <c r="M41" s="2398"/>
      <c r="N41" s="2244"/>
      <c r="O41" s="1670"/>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2" sqref="J22"/>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69.63</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69.63</v>
      </c>
      <c r="H5" s="13">
        <f t="shared" ref="H5:AT5" si="0">SUM(H13:H656)</f>
        <v>69.63</v>
      </c>
      <c r="I5" s="13">
        <f t="shared" si="0"/>
        <v>69.63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69.63</v>
      </c>
      <c r="BA5" s="15">
        <f t="shared" si="1"/>
        <v>69.63</v>
      </c>
      <c r="BB5" s="15">
        <f t="shared" si="1"/>
        <v>69.63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3412</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t="s">
        <v>3413</v>
      </c>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t="str">
        <f>I11</f>
        <v>公寓</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3411</v>
      </c>
      <c r="E13" s="13">
        <f>IF($C$3="是",ROUND($A$3*G13/$B$3,2),ROUND($A$3*(G13-AT13)/$B$3,2))</f>
        <v>0</v>
      </c>
      <c r="F13" s="29"/>
      <c r="G13" s="30">
        <f>H13+AC13+AT13</f>
        <v>69.63</v>
      </c>
      <c r="H13" s="17">
        <f>SUMIF(I$12:AB$12,"总值",I13:AB13)</f>
        <v>69.63</v>
      </c>
      <c r="I13" s="1514">
        <v>69.63</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69.63</v>
      </c>
      <c r="BA13" s="13">
        <f>SUM(BB13:BK13)</f>
        <v>69.63</v>
      </c>
      <c r="BB13" s="13">
        <f>IF($D13="是",I13-J13,0)</f>
        <v>69.63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54" t="s">
        <v>1131</v>
      </c>
      <c r="B2" s="3254"/>
      <c r="C2" s="3254"/>
      <c r="D2" s="748" t="s">
        <v>1107</v>
      </c>
      <c r="E2" s="1523" t="s">
        <v>1108</v>
      </c>
      <c r="F2" s="2437"/>
      <c r="G2" s="2431"/>
      <c r="H2" s="2432"/>
      <c r="I2" s="2145" t="s">
        <v>1132</v>
      </c>
      <c r="J2" s="2437"/>
      <c r="K2" s="2437"/>
      <c r="L2" s="2437"/>
      <c r="M2" s="2437"/>
      <c r="N2" s="2438"/>
      <c r="O2" s="2437"/>
      <c r="P2" s="2437"/>
    </row>
    <row r="3" spans="1:16" ht="15.75" thickBot="1">
      <c r="A3" s="3255" t="s">
        <v>1105</v>
      </c>
      <c r="B3" s="3255"/>
      <c r="C3" s="3255"/>
      <c r="D3" s="41">
        <f>'数据-基础表'!AY6</f>
        <v>0</v>
      </c>
      <c r="E3" s="41">
        <f>'数据-基础表'!AZ5</f>
        <v>69.63</v>
      </c>
      <c r="F3" s="2437"/>
      <c r="G3" s="42"/>
      <c r="H3" s="43" t="s">
        <v>1106</v>
      </c>
      <c r="I3" s="802" t="e">
        <f>ROUND('数据-基础表'!B3/'数据-基础表'!A3,2)</f>
        <v>#DIV/0!</v>
      </c>
      <c r="J3" s="2437"/>
      <c r="K3" s="2437"/>
      <c r="L3" s="2437"/>
      <c r="M3" s="2437"/>
      <c r="N3" s="2438"/>
      <c r="O3" s="2437"/>
      <c r="P3" s="2437"/>
    </row>
    <row r="4" spans="1:16" ht="15">
      <c r="A4" s="3256"/>
      <c r="B4" s="3257"/>
      <c r="C4" s="3258"/>
      <c r="D4" s="1524" t="s">
        <v>1107</v>
      </c>
      <c r="E4" s="1525" t="s">
        <v>1108</v>
      </c>
      <c r="F4" s="2437"/>
      <c r="G4" s="2433" t="s">
        <v>1133</v>
      </c>
      <c r="H4" s="43" t="s">
        <v>1113</v>
      </c>
      <c r="I4" s="802" t="e">
        <f>ROUND(SUMIF('数据-基础表'!I9:AS9,"地上",'数据-基础表'!I5:AS5)/'数据-基础表'!A3,2)</f>
        <v>#DIV/0!</v>
      </c>
      <c r="J4" s="2437"/>
      <c r="K4" s="2437"/>
      <c r="L4" s="2437"/>
      <c r="M4" s="2437"/>
      <c r="N4" s="2438"/>
      <c r="O4" s="2437"/>
      <c r="P4" s="2437"/>
    </row>
    <row r="5" spans="1:16">
      <c r="A5" s="42" t="s">
        <v>1109</v>
      </c>
      <c r="B5" s="3259" t="s">
        <v>1110</v>
      </c>
      <c r="C5" s="3259"/>
      <c r="D5" s="43">
        <f>ROUND($D$3*E5/$E$3,2)</f>
        <v>0</v>
      </c>
      <c r="E5" s="44">
        <f>SUMIF('数据-基础表'!$11:$11,"住宅",'数据-基础表'!$5:$5)</f>
        <v>0</v>
      </c>
      <c r="F5" s="2437"/>
      <c r="G5" s="42"/>
      <c r="H5" s="43" t="s">
        <v>1106</v>
      </c>
      <c r="I5" s="802" t="e">
        <f>ROUND(E31/D31,2)</f>
        <v>#DIV/0!</v>
      </c>
      <c r="J5" s="2437"/>
      <c r="K5" s="2437"/>
      <c r="L5" s="2437"/>
      <c r="M5" s="2437"/>
      <c r="N5" s="2437"/>
      <c r="O5" s="2437"/>
      <c r="P5" s="2437"/>
    </row>
    <row r="6" spans="1:16" ht="15" thickBot="1">
      <c r="A6" s="1527"/>
      <c r="B6" s="3259" t="s">
        <v>1111</v>
      </c>
      <c r="C6" s="3259"/>
      <c r="D6" s="43">
        <f>ROUND($D$3*E6/$E$3,2)</f>
        <v>0</v>
      </c>
      <c r="E6" s="44">
        <f>E3-E5</f>
        <v>69.63</v>
      </c>
      <c r="F6" s="2437"/>
      <c r="G6" s="1529" t="s">
        <v>1112</v>
      </c>
      <c r="H6" s="45" t="s">
        <v>1113</v>
      </c>
      <c r="I6" s="2434" t="e">
        <f>ROUND(F31/D31,2)</f>
        <v>#DIV/0!</v>
      </c>
      <c r="J6" s="2437"/>
      <c r="K6" s="2437"/>
      <c r="L6" s="2437"/>
      <c r="M6" s="2437"/>
      <c r="N6" s="2437"/>
      <c r="O6" s="2437"/>
      <c r="P6" s="2437"/>
    </row>
    <row r="7" spans="1:16" ht="15.75" thickBot="1">
      <c r="A7" s="3251"/>
      <c r="B7" s="3252"/>
      <c r="C7" s="3253"/>
      <c r="D7" s="1524" t="s">
        <v>1107</v>
      </c>
      <c r="E7" s="1528" t="s">
        <v>1114</v>
      </c>
      <c r="F7" s="2437"/>
      <c r="G7" s="2435" t="s">
        <v>1115</v>
      </c>
      <c r="H7" s="95"/>
      <c r="I7" s="3151">
        <f>案例!M4</f>
        <v>5.43</v>
      </c>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69.63</v>
      </c>
      <c r="F8" s="2437"/>
      <c r="G8" s="2437"/>
      <c r="H8" s="2437"/>
      <c r="I8" s="2437"/>
      <c r="J8" s="2437"/>
      <c r="K8" s="2437"/>
      <c r="L8" s="2437"/>
      <c r="M8" s="2437"/>
      <c r="N8" s="2437"/>
      <c r="O8" s="2437"/>
      <c r="P8" s="2437"/>
    </row>
    <row r="9" spans="1:16">
      <c r="A9" s="1529"/>
      <c r="B9" s="1530"/>
      <c r="C9" s="43" t="s">
        <v>1119</v>
      </c>
      <c r="D9" s="43">
        <f t="shared" si="0"/>
        <v>0</v>
      </c>
      <c r="E9" s="47">
        <v>0</v>
      </c>
      <c r="F9" s="2437"/>
      <c r="G9" s="2437"/>
      <c r="H9" s="2437"/>
      <c r="I9" s="2437"/>
      <c r="J9" s="2437"/>
      <c r="K9" s="2437"/>
      <c r="L9" s="2437"/>
      <c r="M9" s="2437"/>
      <c r="N9" s="2437"/>
      <c r="O9" s="2437"/>
      <c r="P9" s="2437"/>
    </row>
    <row r="10" spans="1:16">
      <c r="A10" s="1529"/>
      <c r="B10" s="1530"/>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9"/>
      <c r="B11" s="1530"/>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9"/>
      <c r="B12" s="1530"/>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9"/>
      <c r="B13" s="1530"/>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9"/>
      <c r="B14" s="1530"/>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9"/>
      <c r="B15" s="1530"/>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7"/>
      <c r="B16" s="1530"/>
      <c r="C16" s="45" t="s">
        <v>1123</v>
      </c>
      <c r="D16" s="45">
        <f>SUM(D8:D15)</f>
        <v>0</v>
      </c>
      <c r="E16" s="48">
        <f>SUM(E8:E15)</f>
        <v>69.63</v>
      </c>
      <c r="F16" s="2437"/>
      <c r="G16" s="2437"/>
      <c r="H16" s="1531" t="s">
        <v>1135</v>
      </c>
      <c r="I16" s="1532"/>
      <c r="J16" s="1071"/>
      <c r="K16" s="3248" t="s">
        <v>1135</v>
      </c>
      <c r="L16" s="3249"/>
      <c r="M16" s="3249"/>
      <c r="N16" s="3249"/>
      <c r="O16" s="3249"/>
      <c r="P16" s="3250"/>
    </row>
    <row r="17" spans="1:19" ht="15">
      <c r="A17" s="1533" t="s">
        <v>1136</v>
      </c>
      <c r="B17" s="1534" t="s">
        <v>1137</v>
      </c>
      <c r="C17" s="1535" t="s">
        <v>1138</v>
      </c>
      <c r="D17" s="1536" t="s">
        <v>1126</v>
      </c>
      <c r="E17" s="1537" t="s">
        <v>1127</v>
      </c>
      <c r="F17" s="1538"/>
      <c r="G17" s="1539"/>
      <c r="H17" s="1540" t="s">
        <v>1139</v>
      </c>
      <c r="I17" s="1541" t="s">
        <v>1124</v>
      </c>
      <c r="J17" s="1071"/>
      <c r="K17" s="3245" t="s">
        <v>1140</v>
      </c>
      <c r="L17" s="3246"/>
      <c r="M17" s="3247"/>
      <c r="N17" s="3245" t="s">
        <v>1141</v>
      </c>
      <c r="O17" s="3246"/>
      <c r="P17" s="3247"/>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3" t="s">
        <v>3415</v>
      </c>
      <c r="D19" s="43">
        <f>ROUND($D$3*E19/$E$3,2)</f>
        <v>0</v>
      </c>
      <c r="E19" s="51">
        <f t="shared" ref="E19:E26" si="1">SUM(F19:G19)</f>
        <v>69.63</v>
      </c>
      <c r="F19" s="2555">
        <f>'数据-基础表'!I13</f>
        <v>69.63</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69.63</v>
      </c>
    </row>
    <row r="20" spans="1:19">
      <c r="A20" s="1549"/>
      <c r="B20" s="45" t="s">
        <v>1153</v>
      </c>
      <c r="C20" s="3113"/>
      <c r="D20" s="43">
        <f t="shared" ref="D20:D26" si="6">ROUND($D$3*E20/$E$3,2)</f>
        <v>0</v>
      </c>
      <c r="E20" s="51">
        <f t="shared" si="1"/>
        <v>0</v>
      </c>
      <c r="F20" s="2555"/>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3"/>
      <c r="D21" s="43">
        <f t="shared" si="6"/>
        <v>0</v>
      </c>
      <c r="E21" s="51">
        <f t="shared" si="1"/>
        <v>0</v>
      </c>
      <c r="F21" s="2555"/>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4"/>
      <c r="D22" s="43">
        <f t="shared" si="6"/>
        <v>0</v>
      </c>
      <c r="E22" s="51">
        <f t="shared" si="1"/>
        <v>0</v>
      </c>
      <c r="F22" s="2556"/>
      <c r="G22" s="2557"/>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4"/>
      <c r="D23" s="43">
        <f>ROUND($D$3*E23/$E$3,2)</f>
        <v>0</v>
      </c>
      <c r="E23" s="51">
        <f>SUM(F23:G23)</f>
        <v>0</v>
      </c>
      <c r="F23" s="2556"/>
      <c r="G23" s="2557"/>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4"/>
      <c r="D24" s="43">
        <f>ROUND($D$3*E24/$E$3,2)</f>
        <v>0</v>
      </c>
      <c r="E24" s="51">
        <f>SUM(F24:G24)</f>
        <v>0</v>
      </c>
      <c r="F24" s="2556"/>
      <c r="G24" s="2557"/>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4"/>
      <c r="D25" s="43">
        <f t="shared" si="6"/>
        <v>0</v>
      </c>
      <c r="E25" s="51">
        <f t="shared" si="1"/>
        <v>0</v>
      </c>
      <c r="F25" s="2556"/>
      <c r="G25" s="2557"/>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6"/>
      <c r="G26" s="2557"/>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69.63</v>
      </c>
      <c r="F27" s="1072">
        <f>IF(SUM(F19:F26)=E8,SUM(F19:F26),"地上面积有误")</f>
        <v>69.63</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69.63</v>
      </c>
    </row>
    <row r="28" spans="1:19">
      <c r="A28" s="1549"/>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9"/>
      <c r="B29" s="45" t="s">
        <v>1155</v>
      </c>
      <c r="C29" s="1555"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9"/>
      <c r="B30" s="45"/>
      <c r="C30" s="1556" t="s">
        <v>1154</v>
      </c>
      <c r="D30" s="1072">
        <f>SUM(D28:D29)</f>
        <v>0</v>
      </c>
      <c r="E30" s="1072">
        <f>SUM(E28:E29)</f>
        <v>0</v>
      </c>
      <c r="F30" s="1072">
        <f>SUM(F28:F29)</f>
        <v>0</v>
      </c>
      <c r="G30" s="1074">
        <f>SUM(G28:G29)</f>
        <v>0</v>
      </c>
      <c r="H30" s="2437"/>
      <c r="I30" s="2437"/>
      <c r="J30" s="2437"/>
      <c r="K30" s="2437"/>
      <c r="L30" s="2437"/>
      <c r="M30" s="2437"/>
      <c r="N30" s="2437"/>
      <c r="O30" s="2437"/>
      <c r="P30" s="2437"/>
    </row>
    <row r="31" spans="1:19" ht="15.75" thickBot="1">
      <c r="A31" s="1557"/>
      <c r="B31" s="96"/>
      <c r="C31" s="785" t="s">
        <v>1158</v>
      </c>
      <c r="D31" s="643">
        <f>D27+D30</f>
        <v>0</v>
      </c>
      <c r="E31" s="643">
        <f>E27+E30</f>
        <v>69.63</v>
      </c>
      <c r="F31" s="644">
        <f>F27+F30</f>
        <v>69.63</v>
      </c>
      <c r="G31" s="645">
        <f>G27+G30</f>
        <v>0</v>
      </c>
      <c r="H31" s="2437"/>
      <c r="I31" s="2437"/>
      <c r="J31" s="2437"/>
      <c r="K31" s="2437"/>
      <c r="L31" s="2437"/>
      <c r="M31" s="2437"/>
      <c r="N31" s="2437"/>
      <c r="O31" s="2437"/>
      <c r="P31" s="2437"/>
    </row>
    <row r="32" spans="1:19">
      <c r="A32" s="1526"/>
      <c r="B32" s="1526" t="s">
        <v>1159</v>
      </c>
      <c r="C32" s="1526"/>
      <c r="D32" s="1526"/>
      <c r="E32" s="990">
        <f>SUMIF(C19:C26,"*住宅*",E19:E26)</f>
        <v>0</v>
      </c>
      <c r="F32" s="1526"/>
      <c r="G32" s="1526"/>
      <c r="H32" s="2437"/>
      <c r="I32" s="2437"/>
      <c r="J32" s="2437"/>
      <c r="K32" s="2437"/>
      <c r="L32" s="2437"/>
      <c r="M32" s="2437"/>
      <c r="N32" s="2437"/>
      <c r="O32" s="2437"/>
      <c r="P32" s="2437"/>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Q7" sqref="Q7"/>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75" thickBot="1">
      <c r="A2" s="1562" t="s">
        <v>1161</v>
      </c>
      <c r="B2" s="984">
        <f>项目基本情况!D3</f>
        <v>45247</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6"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7"/>
      <c r="AO4" s="2437"/>
      <c r="AP4" s="2437"/>
      <c r="AQ4" s="2437"/>
      <c r="AR4" s="2437"/>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3417</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公寓式酒店</v>
      </c>
      <c r="B6" s="1587" t="str">
        <f>IF(A6=0,"","经营性")</f>
        <v>经营性</v>
      </c>
      <c r="C6" s="1588" t="s">
        <v>673</v>
      </c>
      <c r="D6" s="805">
        <f>SUMIF(项目基本情况!C$12:I$12,C6,项目基本情况!C$14:I$14)</f>
        <v>40</v>
      </c>
      <c r="E6" s="804">
        <f>IF(B6="","",SUMIF(项目基本情况!C$12:I$12,C6,项目基本情况!C$13:I$13))</f>
        <v>53643</v>
      </c>
      <c r="F6" s="61">
        <f>SUMIF(项目基本情况!C$12:I$12,C6,项目基本情况!C$15:I$15)</f>
        <v>23</v>
      </c>
      <c r="G6" s="62">
        <f>IF(ISERROR(ROUND(POWER(1+H6,D6-F6)*(POWER(1+H6,F6)-1)/(POWER(1+H6,D6)-1),3)),0,ROUND(POWER(1+H6,D6-F6)*(POWER(1+H6,F6)-1)/(POWER(1+H6,D6)-1),3))</f>
        <v>0.80200000000000005</v>
      </c>
      <c r="H6" s="691">
        <v>5.5E-2</v>
      </c>
      <c r="I6" s="691">
        <v>0.06</v>
      </c>
      <c r="J6" s="63">
        <v>6.5000000000000002E-2</v>
      </c>
      <c r="K6" s="970">
        <f>SUMIF('数据-汇总表'!C$19:C$33,A6,'数据-汇总表'!E$19:E$33)</f>
        <v>69.63</v>
      </c>
      <c r="L6" s="692">
        <v>3500</v>
      </c>
      <c r="M6" s="64">
        <f t="shared" ref="M6:M14" si="0">ROUND(K6*L6/10000,0)</f>
        <v>24</v>
      </c>
      <c r="N6" s="690">
        <f>N19</f>
        <v>0.75</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4">
        <v>450</v>
      </c>
      <c r="V6" s="67">
        <v>2.5000000000000001E-2</v>
      </c>
      <c r="W6" s="67">
        <v>0.85</v>
      </c>
      <c r="X6" s="979"/>
      <c r="Y6" s="68">
        <f>N6</f>
        <v>0.75</v>
      </c>
      <c r="Z6" s="69"/>
      <c r="AA6" s="63"/>
      <c r="AB6" s="63"/>
      <c r="AC6" s="979"/>
      <c r="AD6" s="70"/>
      <c r="AE6" s="980">
        <f ca="1">IF(AN6="",0,SUMIF(INDIRECT("'"&amp;AN6&amp;"'"&amp;"!E:E"),$AE$5,INDIRECT("'"&amp;AN6&amp;"'"&amp;"!F:F")))</f>
        <v>23</v>
      </c>
      <c r="AF6" s="74"/>
      <c r="AG6" s="130">
        <f>IF(AF6="",0,AE6-AF6)</f>
        <v>0</v>
      </c>
      <c r="AH6" s="71">
        <v>1</v>
      </c>
      <c r="AI6" s="73">
        <v>365</v>
      </c>
      <c r="AJ6" s="74"/>
      <c r="AK6" s="75">
        <v>1.4999999999999999E-2</v>
      </c>
      <c r="AL6" s="76">
        <v>1.5E-3</v>
      </c>
      <c r="AM6" s="77">
        <v>0.01</v>
      </c>
      <c r="AN6" s="1589" t="s">
        <v>3418</v>
      </c>
      <c r="AO6" s="50">
        <f ca="1">SUMIF(INDIRECT("'"&amp;AN6&amp;"'"&amp;"!A:A"),"总价",INDIRECT("'"&amp;AN6&amp;"'"&amp;"!B:B"))</f>
        <v>25.989899999999999</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4"/>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5"/>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4"/>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4"/>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4"/>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4"/>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6"/>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7"/>
      <c r="AP14" s="2437"/>
      <c r="AQ14" s="2437"/>
      <c r="AR14" s="2437"/>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7"/>
      <c r="AP15" s="2437"/>
      <c r="AQ15" s="2437"/>
      <c r="AR15" s="2437"/>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0.80200000000000005</v>
      </c>
      <c r="H16" s="84">
        <f>ROUND(SUMPRODUCT(H6:H13,K6:K13)/SUMPRODUCT((H6:H13&gt;0)*(K6:K13)),3)</f>
        <v>5.5E-2</v>
      </c>
      <c r="I16" s="85"/>
      <c r="J16" s="85"/>
      <c r="K16" s="86">
        <f>SUM(K6:K15)</f>
        <v>69.63</v>
      </c>
      <c r="L16" s="87">
        <f>ROUND(M16*10000/SUM(K6:K14),0)</f>
        <v>3447</v>
      </c>
      <c r="M16" s="87">
        <f>SUM(M6:M14)</f>
        <v>24</v>
      </c>
      <c r="N16" s="88">
        <f>ROUND(SUMPRODUCT(M6:M14,N6:N14)/M16,3)</f>
        <v>0.75</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v>2008</v>
      </c>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6" t="s">
        <v>1211</v>
      </c>
      <c r="B19" s="97">
        <v>0</v>
      </c>
      <c r="C19" s="2558" t="s">
        <v>2305</v>
      </c>
      <c r="D19" s="2450"/>
      <c r="E19" s="2437"/>
      <c r="F19" s="2437"/>
      <c r="G19" s="2437"/>
      <c r="H19" s="2437"/>
      <c r="I19" s="2437"/>
      <c r="J19" s="2437"/>
      <c r="K19" s="2448"/>
      <c r="L19" s="2448"/>
      <c r="M19" s="2447"/>
      <c r="N19" s="2447">
        <f>1-(2023-N18)/60</f>
        <v>0.75</v>
      </c>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7" t="s">
        <v>1212</v>
      </c>
      <c r="B20" s="98">
        <v>2</v>
      </c>
      <c r="C20" s="2559" t="s">
        <v>2303</v>
      </c>
      <c r="D20" s="2450"/>
      <c r="E20" s="2437"/>
      <c r="F20" s="2437"/>
      <c r="G20" s="2437"/>
      <c r="H20" s="2437"/>
      <c r="I20" s="2437"/>
      <c r="J20" s="2437"/>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8" t="s">
        <v>1213</v>
      </c>
      <c r="B21" s="98">
        <v>2</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7" t="s">
        <v>1214</v>
      </c>
      <c r="B22" s="99">
        <f>B19+B20</f>
        <v>2</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8" t="s">
        <v>1215</v>
      </c>
      <c r="B23" s="99">
        <f>B19+B21</f>
        <v>2</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9"/>
      <c r="B25" s="1542"/>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1" t="s">
        <v>1220</v>
      </c>
      <c r="B27" s="101">
        <v>160</v>
      </c>
      <c r="C27" s="2560" t="s">
        <v>2307</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2" t="s">
        <v>1221</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3" t="s">
        <v>1222</v>
      </c>
      <c r="B29" s="105">
        <f ca="1">'成本法 (元)'!C10</f>
        <v>13926</v>
      </c>
      <c r="C29" s="2561" t="s">
        <v>2294</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4" t="s">
        <v>1223</v>
      </c>
      <c r="B30" s="638">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2" t="s">
        <v>1224</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5" t="s">
        <v>1225</v>
      </c>
      <c r="B32" s="639">
        <v>0</v>
      </c>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1" t="s">
        <v>1226</v>
      </c>
      <c r="B33" s="640">
        <v>0.03</v>
      </c>
      <c r="C33" s="2562" t="s">
        <v>2295</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2" t="s">
        <v>1227</v>
      </c>
      <c r="B34" s="106"/>
      <c r="C34" s="2562" t="s">
        <v>2296</v>
      </c>
      <c r="D34" s="2458" t="s">
        <v>2304</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2" t="s">
        <v>1228</v>
      </c>
      <c r="B35" s="103">
        <v>200</v>
      </c>
      <c r="C35" s="2562" t="s">
        <v>2297</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1.4999999999999999E-2</v>
      </c>
      <c r="C36" s="2562" t="s">
        <v>2298</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4" t="s">
        <v>1230</v>
      </c>
      <c r="B37" s="108">
        <v>0.01</v>
      </c>
      <c r="C37" s="2562" t="s">
        <v>2299</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2" t="s">
        <v>1231</v>
      </c>
      <c r="B38" s="106">
        <v>0.01</v>
      </c>
      <c r="C38" s="2562" t="s">
        <v>2299</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5"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29.25" thickBot="1">
      <c r="A40" s="2571" t="s">
        <v>3416</v>
      </c>
      <c r="B40" s="1015">
        <f ca="1">IF(A40="利息：取LPR",存贷款利率!G1,存贷款利率!G1+C40)</f>
        <v>4.7500000000000001E-2</v>
      </c>
      <c r="C40" s="2570">
        <v>1.2999999999999999E-2</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1" t="s">
        <v>1233</v>
      </c>
      <c r="B41" s="109">
        <f>B42+B43</f>
        <v>5.6000000000000001E-2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6" t="s">
        <v>1234</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6" t="s">
        <v>1235</v>
      </c>
      <c r="B43" s="111">
        <f>B42*(B44+B45+B46)+B47</f>
        <v>6.000000000000001E-3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7" t="s">
        <v>1236</v>
      </c>
      <c r="B44" s="112">
        <v>7.0000000000000007E-2</v>
      </c>
      <c r="C44" s="2562" t="s">
        <v>2308</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7" t="s">
        <v>1237</v>
      </c>
      <c r="B45" s="110">
        <v>0.03</v>
      </c>
      <c r="C45" s="2561" t="s">
        <v>2300</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7" t="s">
        <v>1238</v>
      </c>
      <c r="B46" s="110">
        <v>0.02</v>
      </c>
      <c r="C46" s="2561" t="s">
        <v>2301</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4" t="s">
        <v>2309</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9" t="s">
        <v>1240</v>
      </c>
      <c r="B48" s="114">
        <v>0.03</v>
      </c>
      <c r="C48" s="2561" t="s">
        <v>2300</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1" t="s">
        <v>2302</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10"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10"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2" t="s">
        <v>1245</v>
      </c>
      <c r="B53" s="1611"/>
      <c r="C53" s="2438" t="s">
        <v>1246</v>
      </c>
      <c r="D53" s="2563" t="s">
        <v>2306</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2"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2"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2"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2"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2"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2"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2"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2"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2"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2"/>
  </cols>
  <sheetData>
    <row r="1" spans="1:29" s="2258" customFormat="1" ht="18.75" thickBot="1">
      <c r="A1" s="3260" t="s">
        <v>2286</v>
      </c>
      <c r="B1" s="3261"/>
      <c r="C1" s="3261"/>
      <c r="D1" s="3261"/>
      <c r="E1" s="3261"/>
      <c r="F1" s="3261"/>
      <c r="G1" s="3261"/>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2281</v>
      </c>
      <c r="D2" s="1595"/>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6.75">
      <c r="A4" s="2247"/>
      <c r="B4" s="315" t="s">
        <v>2254</v>
      </c>
      <c r="C4" s="2268" t="s">
        <v>2255</v>
      </c>
      <c r="D4" s="2265"/>
      <c r="E4" s="2269"/>
      <c r="F4" s="1281" t="s">
        <v>2256</v>
      </c>
      <c r="G4" s="2270" t="s">
        <v>2257</v>
      </c>
      <c r="H4" s="751"/>
      <c r="I4" s="751"/>
      <c r="J4" s="751"/>
      <c r="K4" s="751"/>
      <c r="L4" s="751"/>
      <c r="M4" s="751"/>
      <c r="N4" s="751"/>
      <c r="O4" s="751"/>
      <c r="P4" s="751"/>
      <c r="Q4" s="751"/>
    </row>
    <row r="5" spans="1:29" ht="36.75">
      <c r="A5" s="2247"/>
      <c r="B5" s="315" t="s">
        <v>2258</v>
      </c>
      <c r="C5" s="2268" t="s">
        <v>2259</v>
      </c>
      <c r="D5" s="2265"/>
      <c r="E5" s="2269"/>
      <c r="F5" s="315" t="s">
        <v>2260</v>
      </c>
      <c r="G5" s="2270" t="s">
        <v>2261</v>
      </c>
      <c r="H5" s="751"/>
      <c r="I5" s="751"/>
      <c r="J5" s="751"/>
      <c r="K5" s="751"/>
      <c r="L5" s="751"/>
      <c r="M5" s="751"/>
      <c r="N5" s="751"/>
      <c r="O5" s="751"/>
      <c r="P5" s="751"/>
      <c r="Q5" s="751"/>
    </row>
    <row r="6" spans="1:29" ht="36">
      <c r="A6" s="2247"/>
      <c r="B6" s="315" t="s">
        <v>2262</v>
      </c>
      <c r="C6" s="2270" t="s">
        <v>2257</v>
      </c>
      <c r="D6" s="2265"/>
      <c r="E6" s="2269"/>
      <c r="F6" s="315" t="s">
        <v>2263</v>
      </c>
      <c r="G6" s="2270" t="s">
        <v>2264</v>
      </c>
      <c r="H6" s="751"/>
      <c r="I6" s="751"/>
      <c r="J6" s="751"/>
      <c r="K6" s="751"/>
      <c r="L6" s="751"/>
      <c r="M6" s="751"/>
      <c r="N6" s="751"/>
      <c r="O6" s="751"/>
      <c r="P6" s="751"/>
      <c r="Q6" s="751"/>
    </row>
    <row r="7" spans="1:29" ht="24.75" thickBot="1">
      <c r="A7" s="2247"/>
      <c r="B7" s="315" t="s">
        <v>2260</v>
      </c>
      <c r="C7" s="2270" t="s">
        <v>2261</v>
      </c>
      <c r="D7" s="2244"/>
      <c r="E7" s="2271"/>
      <c r="F7" s="2272" t="s">
        <v>2265</v>
      </c>
      <c r="G7" s="2273" t="s">
        <v>2266</v>
      </c>
      <c r="H7" s="751"/>
      <c r="I7" s="751"/>
      <c r="J7" s="751"/>
      <c r="K7" s="751"/>
      <c r="L7" s="751"/>
      <c r="M7" s="751"/>
      <c r="N7" s="751"/>
      <c r="O7" s="751"/>
      <c r="P7" s="751"/>
      <c r="Q7" s="751"/>
    </row>
    <row r="8" spans="1:29">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5"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2287</v>
      </c>
      <c r="B13" s="2279"/>
      <c r="C13" s="2279"/>
      <c r="D13" s="2278"/>
      <c r="E13" s="2279"/>
      <c r="F13" s="2279"/>
      <c r="G13" s="2279"/>
    </row>
    <row r="14" spans="1:29" ht="15" thickBot="1">
      <c r="A14" s="2284"/>
      <c r="B14" s="2284"/>
      <c r="C14" s="2285" t="s">
        <v>2270</v>
      </c>
      <c r="D14" s="2265"/>
      <c r="E14" s="2286"/>
      <c r="F14" s="2286"/>
      <c r="G14" s="2261" t="s">
        <v>2271</v>
      </c>
    </row>
    <row r="15" spans="1:29" ht="51">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8.25">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8.25">
      <c r="A17" s="2251"/>
      <c r="B17" s="2290" t="s">
        <v>2258</v>
      </c>
      <c r="C17" s="2291" t="str">
        <f>C5</f>
        <v>估价对象位于XX商圈，周边办公楼项目较多，入驻率高，办公集聚程度较好</v>
      </c>
      <c r="D17" s="2244"/>
      <c r="E17" s="2252"/>
      <c r="F17" s="2292" t="s">
        <v>2275</v>
      </c>
      <c r="G17" s="2294"/>
    </row>
    <row r="18" spans="1:17" ht="38.25">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5.5">
      <c r="A19" s="2251"/>
      <c r="B19" s="2292" t="s">
        <v>2276</v>
      </c>
      <c r="C19" s="2294"/>
      <c r="D19" s="2265"/>
      <c r="E19" s="2252"/>
      <c r="F19" s="315" t="s">
        <v>2260</v>
      </c>
      <c r="G19" s="2293" t="str">
        <f>G5</f>
        <v>估价对象所在区域公共配套设施齐备情况</v>
      </c>
    </row>
    <row r="20" spans="1:17" ht="25.5">
      <c r="A20" s="2251"/>
      <c r="B20" s="2292" t="s">
        <v>2277</v>
      </c>
      <c r="C20" s="2291" t="str">
        <f>C9</f>
        <v>区域自然环境：；人文环境；综合评价环境状况一般</v>
      </c>
      <c r="D20" s="2244"/>
      <c r="E20" s="2252"/>
      <c r="F20" s="315" t="s">
        <v>2263</v>
      </c>
      <c r="G20" s="2293" t="str">
        <f>G6</f>
        <v>估价对象所在区域基础设施水平</v>
      </c>
    </row>
    <row r="21" spans="1:17" ht="25.5">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5" thickBot="1">
      <c r="A23" s="2251"/>
      <c r="B23" s="2292" t="s">
        <v>2278</v>
      </c>
      <c r="C23" s="2295"/>
      <c r="D23" s="1614"/>
      <c r="E23" s="2253"/>
      <c r="F23" s="2296" t="s">
        <v>2279</v>
      </c>
      <c r="G23" s="2297"/>
      <c r="H23" s="2276"/>
      <c r="I23" s="2276"/>
      <c r="J23" s="2276"/>
      <c r="K23" s="2276"/>
      <c r="L23" s="2276"/>
      <c r="M23" s="2276"/>
      <c r="N23" s="2276"/>
      <c r="O23" s="2276"/>
      <c r="P23" s="2276"/>
      <c r="Q23" s="2276"/>
    </row>
    <row r="24" spans="1:17" s="751" customFormat="1" ht="15" thickBot="1">
      <c r="A24" s="2254"/>
      <c r="B24" s="2296" t="s">
        <v>2280</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25" sqref="C25"/>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69.63</v>
      </c>
      <c r="C1" s="2460"/>
      <c r="D1" s="2460"/>
      <c r="E1" s="2460"/>
      <c r="F1" s="2460"/>
      <c r="G1" s="2461"/>
      <c r="H1" s="2461"/>
      <c r="I1" s="2461"/>
      <c r="J1" s="2461"/>
      <c r="K1" s="2461"/>
    </row>
    <row r="2" spans="1:11" ht="16.5">
      <c r="A2" s="2299" t="s">
        <v>653</v>
      </c>
      <c r="B2" s="2299">
        <f>SUM(C14:C23)</f>
        <v>0</v>
      </c>
      <c r="C2" s="2460"/>
      <c r="D2" s="2460"/>
      <c r="E2" s="2460"/>
      <c r="F2" s="2460"/>
      <c r="G2" s="2461"/>
      <c r="H2" s="2461"/>
      <c r="I2" s="2461"/>
      <c r="J2" s="2461"/>
      <c r="K2" s="2461"/>
    </row>
    <row r="3" spans="1:11" ht="16.5">
      <c r="A3" s="2299" t="s">
        <v>662</v>
      </c>
      <c r="B3" s="2301">
        <f>项目基本情况!D3</f>
        <v>45247</v>
      </c>
      <c r="C3" s="2460"/>
      <c r="D3" s="2460"/>
      <c r="E3" s="2460"/>
      <c r="F3" s="2460"/>
      <c r="G3" s="2461"/>
      <c r="H3" s="2461"/>
      <c r="I3" s="2461"/>
      <c r="J3" s="2461"/>
      <c r="K3" s="2461"/>
    </row>
    <row r="4" spans="1:11" ht="33">
      <c r="A4" s="2299" t="s">
        <v>661</v>
      </c>
      <c r="B4" s="2299" t="s">
        <v>660</v>
      </c>
      <c r="C4" s="2299" t="s">
        <v>659</v>
      </c>
      <c r="D4" s="2299" t="s">
        <v>658</v>
      </c>
      <c r="E4" s="2460"/>
      <c r="F4" s="2461"/>
      <c r="G4" s="2461"/>
      <c r="H4" s="2461"/>
      <c r="I4" s="2461"/>
      <c r="J4" s="2461"/>
      <c r="K4" s="2461"/>
    </row>
    <row r="5" spans="1:11" ht="16.5">
      <c r="A5" s="2299" t="s">
        <v>657</v>
      </c>
      <c r="B5" s="2299">
        <f ca="1">SUM(D14:D23)</f>
        <v>230.34299999999999</v>
      </c>
      <c r="C5" s="2299">
        <f ca="1">IF(B5=D14,结果表!H102,ROUND(B5*10000/$B$1,0))</f>
        <v>0</v>
      </c>
      <c r="D5" s="2299" t="e">
        <f ca="1">ROUND(B5*10000/$B$2,0)</f>
        <v>#DIV/0!</v>
      </c>
      <c r="E5" s="2460"/>
      <c r="F5" s="2461"/>
      <c r="G5" s="2461"/>
      <c r="H5" s="2461"/>
      <c r="I5" s="2461"/>
      <c r="J5" s="2461"/>
      <c r="K5" s="2461"/>
    </row>
    <row r="6" spans="1:11" ht="16.5">
      <c r="A6" s="2299" t="s">
        <v>656</v>
      </c>
      <c r="B6" s="2299">
        <f>SUM(G14:G23)</f>
        <v>0</v>
      </c>
      <c r="C6" s="2299">
        <f ca="1">IF(B6=G14,结果表!H108,ROUND(B6*10000/$B$1,0))</f>
        <v>0</v>
      </c>
      <c r="D6" s="2299" t="e">
        <f>ROUND(B6*10000/$B$2,0)</f>
        <v>#DIV/0!</v>
      </c>
      <c r="E6" s="2460"/>
      <c r="F6" s="2461"/>
      <c r="G6" s="2461"/>
      <c r="H6" s="2461"/>
      <c r="I6" s="2461"/>
      <c r="J6" s="2461"/>
      <c r="K6" s="2461"/>
    </row>
    <row r="7" spans="1:11" ht="16.5">
      <c r="A7" s="2299" t="s">
        <v>664</v>
      </c>
      <c r="B7" s="2299">
        <f>SUM(H14:H23)</f>
        <v>0</v>
      </c>
      <c r="C7" s="2299" t="str">
        <f>IF(B7=H14,结果表!H110,ROUND(B7*10000/$B$1,0))</f>
        <v>——</v>
      </c>
      <c r="D7" s="2299" t="e">
        <f>ROUND(B7*10000/$B$2,0)</f>
        <v>#DIV/0!</v>
      </c>
      <c r="E7" s="2460"/>
      <c r="F7" s="2461"/>
      <c r="G7" s="2461"/>
      <c r="H7" s="2461"/>
      <c r="I7" s="2461"/>
      <c r="J7" s="2461"/>
      <c r="K7" s="2461"/>
    </row>
    <row r="8" spans="1:11" ht="16.5">
      <c r="A8" s="2299" t="s">
        <v>587</v>
      </c>
      <c r="B8" s="2299">
        <f>SUM(I14:I23)</f>
        <v>0</v>
      </c>
      <c r="C8" s="2299" t="str">
        <f>IF(B8=I14,结果表!H112,ROUND(B8*10000/$B$1,0))</f>
        <v>——</v>
      </c>
      <c r="D8" s="2299" t="e">
        <f>ROUND(B8*10000/$B$2,0)</f>
        <v>#DIV/0!</v>
      </c>
      <c r="E8" s="2460"/>
      <c r="F8" s="2461"/>
      <c r="G8" s="2461"/>
      <c r="H8" s="2461"/>
      <c r="I8" s="2461"/>
      <c r="J8" s="2461"/>
      <c r="K8" s="2461"/>
    </row>
    <row r="9" spans="1:11" ht="16.5">
      <c r="A9" s="2299" t="s">
        <v>655</v>
      </c>
      <c r="B9" s="1244"/>
      <c r="C9" s="2460"/>
      <c r="D9" s="2460"/>
      <c r="E9" s="2460"/>
      <c r="F9" s="2461"/>
      <c r="G9" s="2461"/>
      <c r="H9" s="2461"/>
      <c r="I9" s="2461"/>
      <c r="J9" s="2461"/>
      <c r="K9" s="2461"/>
    </row>
    <row r="10" spans="1:11" ht="16.5">
      <c r="A10" s="2299" t="s">
        <v>654</v>
      </c>
      <c r="B10" s="2299">
        <f>IF(E10="",0,ROUND(B1*(E10*365/G10)/10000,0))</f>
        <v>0</v>
      </c>
      <c r="C10" s="2299" t="s">
        <v>3358</v>
      </c>
      <c r="D10" s="2299" t="s">
        <v>3359</v>
      </c>
      <c r="E10" s="3134"/>
      <c r="F10" s="3138" t="s">
        <v>3360</v>
      </c>
      <c r="G10" s="3135"/>
      <c r="H10" s="2461"/>
      <c r="I10" s="2461"/>
      <c r="J10" s="2461"/>
      <c r="K10" s="2461"/>
    </row>
    <row r="11" spans="1:11" ht="16.5">
      <c r="A11" s="2299" t="s">
        <v>670</v>
      </c>
      <c r="B11" s="1244"/>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2" t="s">
        <v>669</v>
      </c>
      <c r="B13" s="2303" t="s">
        <v>666</v>
      </c>
      <c r="C13" s="2303" t="s">
        <v>668</v>
      </c>
      <c r="D13" s="2303" t="s">
        <v>667</v>
      </c>
      <c r="E13" s="2299" t="s">
        <v>659</v>
      </c>
      <c r="F13" s="2299" t="s">
        <v>658</v>
      </c>
      <c r="G13" s="2303" t="s">
        <v>652</v>
      </c>
      <c r="H13" s="2303" t="s">
        <v>663</v>
      </c>
      <c r="I13" s="2303" t="s">
        <v>651</v>
      </c>
      <c r="J13" s="2461"/>
      <c r="K13" s="2461"/>
    </row>
    <row r="14" spans="1:11" ht="16.5">
      <c r="A14" s="2304" t="s">
        <v>650</v>
      </c>
      <c r="B14" s="2305">
        <f>'数据-汇总表'!F19</f>
        <v>69.63</v>
      </c>
      <c r="C14" s="2305"/>
      <c r="D14" s="2305">
        <f ca="1">ROUND(B14*E14/10000,4)</f>
        <v>230.34299999999999</v>
      </c>
      <c r="E14" s="2305">
        <f ca="1">结果表!G20</f>
        <v>33081</v>
      </c>
      <c r="F14" s="2305" t="e">
        <f ca="1">ROUND(D14*10000/C14,0)</f>
        <v>#DIV/0!</v>
      </c>
      <c r="G14" s="2305"/>
      <c r="H14" s="2305"/>
      <c r="I14" s="2305"/>
      <c r="J14" s="2461"/>
      <c r="K14" s="2461"/>
    </row>
    <row r="15" spans="1:11" ht="16.5">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6.5">
      <c r="A16" s="2304" t="s">
        <v>648</v>
      </c>
      <c r="B16" s="2306"/>
      <c r="C16" s="2306"/>
      <c r="D16" s="2306"/>
      <c r="E16" s="2305" t="e">
        <f t="shared" si="0"/>
        <v>#DIV/0!</v>
      </c>
      <c r="F16" s="2305" t="e">
        <f t="shared" si="1"/>
        <v>#DIV/0!</v>
      </c>
      <c r="G16" s="1244"/>
      <c r="H16" s="1244"/>
      <c r="I16" s="2306"/>
      <c r="J16" s="2461"/>
      <c r="K16" s="2461"/>
    </row>
    <row r="17" spans="1:11" ht="16.5">
      <c r="A17" s="2304" t="s">
        <v>647</v>
      </c>
      <c r="B17" s="2306"/>
      <c r="C17" s="2306"/>
      <c r="D17" s="2306"/>
      <c r="E17" s="2305" t="e">
        <f t="shared" si="0"/>
        <v>#DIV/0!</v>
      </c>
      <c r="F17" s="2305" t="e">
        <f t="shared" si="1"/>
        <v>#DIV/0!</v>
      </c>
      <c r="G17" s="1244"/>
      <c r="H17" s="1244"/>
      <c r="I17" s="2306"/>
      <c r="J17" s="2461"/>
      <c r="K17" s="2461"/>
    </row>
    <row r="18" spans="1:11" ht="16.5">
      <c r="A18" s="2304" t="s">
        <v>646</v>
      </c>
      <c r="B18" s="2306"/>
      <c r="C18" s="2306"/>
      <c r="D18" s="2306"/>
      <c r="E18" s="2305" t="e">
        <f t="shared" si="0"/>
        <v>#DIV/0!</v>
      </c>
      <c r="F18" s="2305" t="e">
        <f t="shared" si="1"/>
        <v>#DIV/0!</v>
      </c>
      <c r="G18" s="2306"/>
      <c r="H18" s="2306"/>
      <c r="I18" s="2306"/>
      <c r="J18" s="2461"/>
      <c r="K18" s="2461"/>
    </row>
    <row r="19" spans="1:11" ht="16.5">
      <c r="A19" s="2304" t="s">
        <v>645</v>
      </c>
      <c r="B19" s="2306"/>
      <c r="C19" s="2306"/>
      <c r="D19" s="2306"/>
      <c r="E19" s="2305" t="e">
        <f t="shared" si="0"/>
        <v>#DIV/0!</v>
      </c>
      <c r="F19" s="2305" t="e">
        <f t="shared" si="1"/>
        <v>#DIV/0!</v>
      </c>
      <c r="G19" s="2306"/>
      <c r="H19" s="2306"/>
      <c r="I19" s="2306"/>
      <c r="J19" s="2461"/>
      <c r="K19" s="2461"/>
    </row>
    <row r="20" spans="1:11" ht="16.5">
      <c r="A20" s="2304" t="s">
        <v>644</v>
      </c>
      <c r="B20" s="2306"/>
      <c r="C20" s="2306"/>
      <c r="D20" s="2306"/>
      <c r="E20" s="2305" t="e">
        <f t="shared" si="0"/>
        <v>#DIV/0!</v>
      </c>
      <c r="F20" s="2305" t="e">
        <f t="shared" si="1"/>
        <v>#DIV/0!</v>
      </c>
      <c r="G20" s="2306"/>
      <c r="H20" s="2306"/>
      <c r="I20" s="2306"/>
      <c r="J20" s="2461"/>
      <c r="K20" s="2461"/>
    </row>
    <row r="21" spans="1:11" ht="16.5">
      <c r="A21" s="2304" t="s">
        <v>643</v>
      </c>
      <c r="B21" s="2306"/>
      <c r="C21" s="2306"/>
      <c r="D21" s="2306"/>
      <c r="E21" s="2305" t="e">
        <f t="shared" si="0"/>
        <v>#DIV/0!</v>
      </c>
      <c r="F21" s="2305" t="e">
        <f t="shared" si="1"/>
        <v>#DIV/0!</v>
      </c>
      <c r="G21" s="2306"/>
      <c r="H21" s="2306"/>
      <c r="I21" s="2306"/>
      <c r="J21" s="2461"/>
      <c r="K21" s="2461"/>
    </row>
    <row r="22" spans="1:11" ht="16.5">
      <c r="A22" s="2304" t="s">
        <v>642</v>
      </c>
      <c r="B22" s="2306"/>
      <c r="C22" s="2306"/>
      <c r="D22" s="2306"/>
      <c r="E22" s="2305" t="e">
        <f t="shared" si="0"/>
        <v>#DIV/0!</v>
      </c>
      <c r="F22" s="2305" t="e">
        <f t="shared" si="1"/>
        <v>#DIV/0!</v>
      </c>
      <c r="G22" s="2306"/>
      <c r="H22" s="2306"/>
      <c r="I22" s="2306"/>
      <c r="J22" s="2461"/>
      <c r="K22" s="2461"/>
    </row>
    <row r="23" spans="1:11" ht="16.5">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C14" sqref="C14:C16"/>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296" t="str">
        <f>项目基本情况!S2</f>
        <v>北京市房地产</v>
      </c>
      <c r="B2" s="3297"/>
      <c r="C2" s="3297"/>
      <c r="D2" s="3297"/>
      <c r="E2" s="3297"/>
      <c r="F2" s="3297"/>
      <c r="G2" s="3297"/>
      <c r="H2" s="3297"/>
      <c r="I2" s="3298"/>
    </row>
    <row r="3" spans="1:12" ht="12.75">
      <c r="A3" s="3300" t="s">
        <v>1264</v>
      </c>
      <c r="B3" s="3301"/>
      <c r="C3" s="3301"/>
      <c r="D3" s="3301"/>
      <c r="E3" s="3301"/>
      <c r="F3" s="3301"/>
      <c r="G3" s="3301"/>
      <c r="H3" s="3301"/>
      <c r="I3" s="3301"/>
    </row>
    <row r="4" spans="1:12" ht="14.25">
      <c r="A4" s="1624" t="s">
        <v>1265</v>
      </c>
      <c r="B4" s="1625" t="s">
        <v>1266</v>
      </c>
      <c r="C4" s="1626" t="s">
        <v>3440</v>
      </c>
      <c r="D4" s="1626" t="s">
        <v>3441</v>
      </c>
      <c r="E4" s="3302" t="s">
        <v>1267</v>
      </c>
      <c r="F4" s="3303"/>
      <c r="G4" s="3303"/>
      <c r="H4" s="3303"/>
      <c r="I4" s="3304"/>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276" t="s">
        <v>1268</v>
      </c>
      <c r="B5" s="3263">
        <v>25</v>
      </c>
      <c r="C5" s="3279"/>
      <c r="D5" s="3299"/>
      <c r="E5" s="123" t="s">
        <v>1269</v>
      </c>
      <c r="F5" s="1627"/>
      <c r="G5" s="1627"/>
      <c r="H5" s="1627"/>
      <c r="I5" s="1281"/>
    </row>
    <row r="6" spans="1:12" ht="12.75">
      <c r="A6" s="3276"/>
      <c r="B6" s="3263"/>
      <c r="C6" s="3280"/>
      <c r="D6" s="3299"/>
      <c r="E6" s="123" t="s">
        <v>1270</v>
      </c>
      <c r="F6" s="1627"/>
      <c r="G6" s="1627"/>
      <c r="H6" s="1627"/>
      <c r="I6" s="1281"/>
    </row>
    <row r="7" spans="1:12" ht="12.75">
      <c r="A7" s="3276"/>
      <c r="B7" s="3263"/>
      <c r="C7" s="3281"/>
      <c r="D7" s="3299"/>
      <c r="E7" s="123" t="s">
        <v>1271</v>
      </c>
      <c r="F7" s="1627"/>
      <c r="G7" s="1627"/>
      <c r="H7" s="1627"/>
      <c r="I7" s="1281"/>
    </row>
    <row r="8" spans="1:12" ht="12.75">
      <c r="A8" s="3276" t="s">
        <v>1272</v>
      </c>
      <c r="B8" s="3263">
        <v>15</v>
      </c>
      <c r="C8" s="3279"/>
      <c r="D8" s="3299"/>
      <c r="E8" s="123" t="s">
        <v>1273</v>
      </c>
      <c r="F8" s="1627"/>
      <c r="G8" s="1627"/>
      <c r="H8" s="1627"/>
      <c r="I8" s="1281"/>
    </row>
    <row r="9" spans="1:12" ht="12.75">
      <c r="A9" s="3276"/>
      <c r="B9" s="3263"/>
      <c r="C9" s="3281"/>
      <c r="D9" s="3299"/>
      <c r="E9" s="123" t="s">
        <v>1274</v>
      </c>
      <c r="F9" s="1627"/>
      <c r="G9" s="1627"/>
      <c r="H9" s="1627"/>
      <c r="I9" s="1281"/>
    </row>
    <row r="10" spans="1:12" ht="12.75">
      <c r="A10" s="3276" t="s">
        <v>1275</v>
      </c>
      <c r="B10" s="3263">
        <v>15</v>
      </c>
      <c r="C10" s="3279"/>
      <c r="D10" s="3299"/>
      <c r="E10" s="123" t="s">
        <v>1276</v>
      </c>
      <c r="F10" s="1627"/>
      <c r="G10" s="1627"/>
      <c r="H10" s="1627"/>
      <c r="I10" s="1281"/>
    </row>
    <row r="11" spans="1:12" ht="12.75">
      <c r="A11" s="3276"/>
      <c r="B11" s="3263"/>
      <c r="C11" s="3281"/>
      <c r="D11" s="3299"/>
      <c r="E11" s="123" t="s">
        <v>1277</v>
      </c>
      <c r="F11" s="1627"/>
      <c r="G11" s="1627"/>
      <c r="H11" s="1627"/>
      <c r="I11" s="1281"/>
    </row>
    <row r="12" spans="1:12" ht="12.75">
      <c r="A12" s="3276" t="s">
        <v>1278</v>
      </c>
      <c r="B12" s="3263">
        <v>15</v>
      </c>
      <c r="C12" s="3279"/>
      <c r="D12" s="3299"/>
      <c r="E12" s="123" t="s">
        <v>1279</v>
      </c>
      <c r="F12" s="1627"/>
      <c r="G12" s="1627"/>
      <c r="H12" s="1627"/>
      <c r="I12" s="1281"/>
    </row>
    <row r="13" spans="1:12" ht="12.75">
      <c r="A13" s="3276"/>
      <c r="B13" s="3263"/>
      <c r="C13" s="3281"/>
      <c r="D13" s="3299"/>
      <c r="E13" s="123" t="s">
        <v>1280</v>
      </c>
      <c r="F13" s="1627"/>
      <c r="G13" s="1627"/>
      <c r="H13" s="1627"/>
      <c r="I13" s="1281"/>
    </row>
    <row r="14" spans="1:12" ht="12.75">
      <c r="A14" s="3276" t="s">
        <v>1281</v>
      </c>
      <c r="B14" s="3263">
        <v>30</v>
      </c>
      <c r="C14" s="3279">
        <v>4</v>
      </c>
      <c r="D14" s="3299">
        <f>10-C14</f>
        <v>6</v>
      </c>
      <c r="E14" s="123" t="s">
        <v>1282</v>
      </c>
      <c r="F14" s="1627"/>
      <c r="G14" s="1627"/>
      <c r="H14" s="1627"/>
      <c r="I14" s="1281"/>
    </row>
    <row r="15" spans="1:12" ht="12.75">
      <c r="A15" s="3276"/>
      <c r="B15" s="3263"/>
      <c r="C15" s="3280"/>
      <c r="D15" s="3299"/>
      <c r="E15" s="123" t="s">
        <v>1283</v>
      </c>
      <c r="F15" s="1627"/>
      <c r="G15" s="1627"/>
      <c r="H15" s="1627"/>
      <c r="I15" s="1281"/>
    </row>
    <row r="16" spans="1:12" ht="12.75">
      <c r="A16" s="3276"/>
      <c r="B16" s="3263"/>
      <c r="C16" s="3281"/>
      <c r="D16" s="3299"/>
      <c r="E16" s="123" t="s">
        <v>1284</v>
      </c>
      <c r="F16" s="1627"/>
      <c r="G16" s="1627"/>
      <c r="H16" s="1627"/>
      <c r="I16" s="1281"/>
    </row>
    <row r="17" spans="1:36" ht="15">
      <c r="A17" s="1628" t="s">
        <v>1285</v>
      </c>
      <c r="B17" s="54"/>
      <c r="C17" s="124">
        <f>SUM(C5:C16)</f>
        <v>4</v>
      </c>
      <c r="D17" s="124">
        <f>SUM(D5:D16)</f>
        <v>6</v>
      </c>
      <c r="E17" s="121"/>
      <c r="F17" s="121"/>
      <c r="G17" s="121"/>
      <c r="H17" s="121"/>
      <c r="I17" s="121"/>
      <c r="K17" s="294"/>
      <c r="L17" s="294" t="s">
        <v>1286</v>
      </c>
      <c r="M17" s="294" t="s">
        <v>1287</v>
      </c>
    </row>
    <row r="18" spans="1:36" ht="31.9" customHeight="1" thickBot="1">
      <c r="A18" s="1629" t="s">
        <v>1288</v>
      </c>
      <c r="B18" s="1542"/>
      <c r="C18" s="125">
        <f>ROUND(C17/SUM(C17:D17),2)</f>
        <v>0.4</v>
      </c>
      <c r="D18" s="125">
        <f>1-C18</f>
        <v>0.6</v>
      </c>
      <c r="E18" s="3286" t="s">
        <v>2131</v>
      </c>
      <c r="F18" s="3287"/>
      <c r="G18" s="3287"/>
      <c r="H18" s="3287"/>
      <c r="I18" s="3287"/>
      <c r="K18" s="294" t="s">
        <v>1289</v>
      </c>
      <c r="L18" s="294">
        <f>IF(C1="",'数据-汇总表'!E3,SUMIF(项目类型,C1,'数据-汇总表'!E17:E26)+SUMIF(项目类型,C1,'数据-汇总表'!I17:I26))</f>
        <v>69.63</v>
      </c>
      <c r="M18" s="294">
        <f>IF(C1="",'数据-汇总表'!E3,SUMIF(项目类型,C1,'数据-汇总表'!E17:E26))</f>
        <v>69.63</v>
      </c>
    </row>
    <row r="19" spans="1:36" ht="15">
      <c r="A19" s="1630" t="s">
        <v>1290</v>
      </c>
      <c r="B19" s="1631" t="s">
        <v>1291</v>
      </c>
      <c r="C19" s="126">
        <f ca="1">SUMIF(INDIRECT("'"&amp;C4&amp;"'"&amp;"!A:A"),结果表!B19,INDIRECT("'"&amp;C4&amp;"'"&amp;"!B:B"))</f>
        <v>162.23269999999999</v>
      </c>
      <c r="D19" s="127">
        <f ca="1">SUMIF(INDIRECT("'"&amp;D4&amp;"'"&amp;"!A:A"),结果表!B19,INDIRECT("'"&amp;D4&amp;"'"&amp;"!B:B"))</f>
        <v>275.74869999999999</v>
      </c>
      <c r="E19" s="1630" t="s">
        <v>1292</v>
      </c>
      <c r="F19" s="1631" t="s">
        <v>1291</v>
      </c>
      <c r="G19" s="128">
        <f ca="1">ROUND(C19*$C$18+D19*$D$18,0)</f>
        <v>230</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SUMIF(INDIRECT("'"&amp;C4&amp;"'"&amp;"!A:A"),结果表!B20,INDIRECT("'"&amp;C4&amp;"'"&amp;"!B:B"))</f>
        <v>23299</v>
      </c>
      <c r="D20" s="130">
        <f ca="1">SUMIF(INDIRECT("'"&amp;D4&amp;"'"&amp;"!A:A"),结果表!B20,INDIRECT("'"&amp;D4&amp;"'"&amp;"!B:B"))</f>
        <v>39602</v>
      </c>
      <c r="E20" s="1633"/>
      <c r="F20" s="43" t="s">
        <v>1295</v>
      </c>
      <c r="G20" s="131">
        <f ca="1">ROUND(C20*$C$18+D20*$D$18,0)</f>
        <v>33081</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0.69971097072291832</v>
      </c>
      <c r="E22" s="121"/>
      <c r="F22" s="121"/>
      <c r="G22" s="121"/>
      <c r="H22" s="121"/>
      <c r="I22" s="121"/>
    </row>
    <row r="23" spans="1:36" ht="13.5" thickBot="1">
      <c r="A23" s="646"/>
      <c r="B23" s="646"/>
      <c r="C23" s="646"/>
      <c r="D23" s="646"/>
      <c r="E23" s="121">
        <f ca="1">C20/D20</f>
        <v>0.58832887227917785</v>
      </c>
      <c r="F23" s="121"/>
      <c r="G23" s="121"/>
      <c r="H23" s="121"/>
      <c r="I23" s="121"/>
    </row>
    <row r="24" spans="1:36" ht="14.25">
      <c r="A24" s="3270" t="s">
        <v>1299</v>
      </c>
      <c r="B24" s="1631" t="s">
        <v>1291</v>
      </c>
      <c r="C24" s="128">
        <f>IF(B30=0,0,D30)</f>
        <v>0</v>
      </c>
      <c r="D24" s="1637"/>
      <c r="E24" s="121"/>
      <c r="F24" s="121"/>
      <c r="G24" s="121"/>
      <c r="H24" s="121"/>
      <c r="I24" s="121"/>
    </row>
    <row r="25" spans="1:36" ht="14.25">
      <c r="A25" s="3271"/>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2"/>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40" t="s">
        <v>1305</v>
      </c>
      <c r="B32" s="1535"/>
      <c r="C32" s="136">
        <f ca="1">IF(D32="总价",G19-C24,G20-C25)</f>
        <v>33081</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290" t="s">
        <v>1312</v>
      </c>
      <c r="B36" s="1652" t="s">
        <v>1313</v>
      </c>
      <c r="C36" s="137"/>
      <c r="D36" s="1653"/>
      <c r="E36" s="1567"/>
      <c r="F36" s="1654"/>
      <c r="G36" s="121"/>
      <c r="H36" s="121"/>
      <c r="I36" s="121"/>
    </row>
    <row r="37" spans="1:15" ht="15.75" thickBot="1">
      <c r="A37" s="3291"/>
      <c r="B37" s="1555" t="s">
        <v>1314</v>
      </c>
      <c r="C37" s="139"/>
      <c r="D37" s="1071"/>
      <c r="E37" s="1071"/>
      <c r="F37" s="1654"/>
      <c r="G37" s="121"/>
      <c r="H37" s="121"/>
      <c r="I37" s="121"/>
    </row>
    <row r="38" spans="1:15" ht="15.75" thickBot="1">
      <c r="A38" s="3292"/>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67" t="s">
        <v>1326</v>
      </c>
      <c r="B45" s="3268"/>
      <c r="C45" s="3269"/>
      <c r="D45" s="147" t="e">
        <f ca="1">ROUND(H101*F45,0)</f>
        <v>#REF!</v>
      </c>
      <c r="E45" s="148" t="s">
        <v>1327</v>
      </c>
      <c r="F45" s="149">
        <v>1</v>
      </c>
      <c r="G45" s="150" t="s">
        <v>1328</v>
      </c>
      <c r="H45" s="121"/>
      <c r="I45" s="121"/>
      <c r="J45" s="3345" t="s">
        <v>1329</v>
      </c>
      <c r="K45" s="3345"/>
      <c r="L45" s="3345"/>
      <c r="M45" s="3345"/>
      <c r="N45" s="3345"/>
      <c r="O45" s="3345"/>
    </row>
    <row r="46" spans="1:15" ht="14.25" customHeight="1">
      <c r="A46" s="3264" t="s">
        <v>1330</v>
      </c>
      <c r="B46" s="3265"/>
      <c r="C46" s="3265"/>
      <c r="D46" s="3265"/>
      <c r="E46" s="3265"/>
      <c r="F46" s="3265"/>
      <c r="G46" s="3266"/>
      <c r="H46" s="1668"/>
      <c r="I46" s="151"/>
      <c r="J46" s="2309">
        <v>1</v>
      </c>
      <c r="K46" s="3326" t="s">
        <v>1331</v>
      </c>
      <c r="L46" s="3326"/>
      <c r="M46" s="3346"/>
      <c r="N46" s="3346"/>
      <c r="O46" s="3346"/>
    </row>
    <row r="47" spans="1:15" ht="12" customHeight="1">
      <c r="A47" s="152" t="s">
        <v>1332</v>
      </c>
      <c r="B47" s="153"/>
      <c r="C47" s="154"/>
      <c r="D47" s="1024" t="s">
        <v>1333</v>
      </c>
      <c r="E47" s="294" t="s">
        <v>1334</v>
      </c>
      <c r="F47" s="155" t="s">
        <v>1335</v>
      </c>
      <c r="G47" s="2332" t="s">
        <v>1336</v>
      </c>
      <c r="H47" s="2333"/>
      <c r="I47" s="151"/>
      <c r="J47" s="2309">
        <v>2</v>
      </c>
      <c r="K47" s="3326" t="s">
        <v>1337</v>
      </c>
      <c r="L47" s="3326"/>
      <c r="M47" s="3347">
        <f>'数据-取费表'!B2</f>
        <v>45247</v>
      </c>
      <c r="N47" s="3347"/>
      <c r="O47" s="3347"/>
    </row>
    <row r="48" spans="1:15" ht="25.5">
      <c r="A48" s="3295" t="s">
        <v>1338</v>
      </c>
      <c r="B48" s="3278"/>
      <c r="C48" s="3278"/>
      <c r="D48" s="12" t="b">
        <f>IF(H48="情况1",0,IF(H48="情况2",D52,IF(H48="情况3",D53,IF(H48="情况4",D54))))</f>
        <v>0</v>
      </c>
      <c r="E48" s="1256" t="str">
        <f>IF(H48="情况4","(销售额-原购置价)×税（费）率","销售额×税（费）率")</f>
        <v>销售额×税（费）率</v>
      </c>
      <c r="F48" s="2334">
        <f>IF(H48="情况1","免征",'数据-取费表'!B41)</f>
        <v>5.6000000000000001E-2</v>
      </c>
      <c r="G48" s="2335" t="s">
        <v>1339</v>
      </c>
      <c r="H48" s="2336"/>
      <c r="I48" s="1668"/>
      <c r="J48" s="2309">
        <v>3</v>
      </c>
      <c r="K48" s="3326" t="s">
        <v>1340</v>
      </c>
      <c r="L48" s="3326"/>
      <c r="M48" s="3348" t="e">
        <f ca="1">H101</f>
        <v>#REF!</v>
      </c>
      <c r="N48" s="3348"/>
      <c r="O48" s="3348"/>
    </row>
    <row r="49" spans="1:35" ht="25.5" customHeight="1">
      <c r="A49" s="2151" t="s">
        <v>1341</v>
      </c>
      <c r="B49" s="3262" t="s">
        <v>1342</v>
      </c>
      <c r="C49" s="3262"/>
      <c r="D49" s="1478">
        <v>0</v>
      </c>
      <c r="E49" s="316" t="s">
        <v>1343</v>
      </c>
      <c r="F49" s="2232" t="s">
        <v>28</v>
      </c>
      <c r="G49" s="3332"/>
      <c r="H49" s="2133" t="s">
        <v>2134</v>
      </c>
      <c r="I49" s="2134"/>
      <c r="J49" s="2309">
        <v>4</v>
      </c>
      <c r="K49" s="3326" t="str">
        <f>IF(项目基本情况!E8="房地产抵押价值","房地产抵押价值","抵押担保权已注销时的房地产抵押价值")</f>
        <v>抵押担保权已注销时的房地产抵押价值</v>
      </c>
      <c r="L49" s="3326"/>
      <c r="M49" s="3348" t="str">
        <f>IF(项目基本情况!E8="房地产抵押价值",H107,H109)</f>
        <v>——</v>
      </c>
      <c r="N49" s="3348"/>
      <c r="O49" s="3348"/>
    </row>
    <row r="50" spans="1:35" ht="25.5" customHeight="1">
      <c r="A50" s="2337"/>
      <c r="B50" s="3262" t="s">
        <v>1344</v>
      </c>
      <c r="C50" s="3262"/>
      <c r="D50" s="2188"/>
      <c r="E50" s="323"/>
      <c r="F50" s="2232"/>
      <c r="G50" s="3333"/>
      <c r="H50" s="2135" t="s">
        <v>2135</v>
      </c>
      <c r="I50" s="2134"/>
      <c r="J50" s="3345" t="s">
        <v>1345</v>
      </c>
      <c r="K50" s="3345"/>
      <c r="L50" s="3345"/>
      <c r="M50" s="3345"/>
      <c r="N50" s="3345"/>
      <c r="O50" s="3345"/>
    </row>
    <row r="51" spans="1:35" ht="20.45" customHeight="1">
      <c r="A51" s="2338"/>
      <c r="B51" s="3262" t="s">
        <v>1346</v>
      </c>
      <c r="C51" s="3262"/>
      <c r="D51" s="1024"/>
      <c r="E51" s="319"/>
      <c r="F51" s="2232"/>
      <c r="G51" s="3334"/>
      <c r="H51" s="2135" t="s">
        <v>2136</v>
      </c>
      <c r="I51" s="2134"/>
      <c r="J51" s="2310" t="s">
        <v>1347</v>
      </c>
      <c r="K51" s="3326" t="s">
        <v>1348</v>
      </c>
      <c r="L51" s="3326"/>
      <c r="M51" s="2310" t="s">
        <v>1349</v>
      </c>
      <c r="N51" s="2310" t="s">
        <v>1350</v>
      </c>
      <c r="O51" s="2310" t="s">
        <v>1351</v>
      </c>
    </row>
    <row r="52" spans="1:35" ht="24" customHeight="1">
      <c r="A52" s="2152" t="s">
        <v>1352</v>
      </c>
      <c r="B52" s="3262" t="s">
        <v>1353</v>
      </c>
      <c r="C52" s="3262"/>
      <c r="D52" s="1024" t="e">
        <f ca="1">ROUND(D45*'数据-取费表'!B41/(1+'数据-取费表'!C42),0)</f>
        <v>#REF!</v>
      </c>
      <c r="E52" s="1256" t="s">
        <v>1354</v>
      </c>
      <c r="F52" s="2339">
        <f>'数据-取费表'!B41</f>
        <v>5.6000000000000001E-2</v>
      </c>
      <c r="G52" s="2340"/>
      <c r="H52" s="2330"/>
      <c r="I52" s="1669"/>
      <c r="J52" s="2309">
        <v>1</v>
      </c>
      <c r="K52" s="3327" t="s">
        <v>1355</v>
      </c>
      <c r="L52" s="3327"/>
      <c r="M52" s="2311" t="b">
        <f>D48</f>
        <v>0</v>
      </c>
      <c r="N52" s="2309" t="str">
        <f>E48</f>
        <v>销售额×税（费）率</v>
      </c>
      <c r="O52" s="2312">
        <f>F48</f>
        <v>5.6000000000000001E-2</v>
      </c>
    </row>
    <row r="53" spans="1:35" ht="12" customHeight="1">
      <c r="A53" s="2152" t="s">
        <v>1356</v>
      </c>
      <c r="B53" s="3288" t="s">
        <v>2291</v>
      </c>
      <c r="C53" s="3289"/>
      <c r="D53" s="1024" t="e">
        <f ca="1">ROUND(D45*'数据-取费表'!B41/(1+'数据-取费表'!C42),0)</f>
        <v>#REF!</v>
      </c>
      <c r="E53" s="1256" t="s">
        <v>1354</v>
      </c>
      <c r="F53" s="2339">
        <f>'数据-取费表'!B41</f>
        <v>5.6000000000000001E-2</v>
      </c>
      <c r="G53" s="2340"/>
      <c r="H53" s="2330"/>
      <c r="I53" s="1669"/>
      <c r="J53" s="2309">
        <v>2</v>
      </c>
      <c r="K53" s="3327" t="s">
        <v>1357</v>
      </c>
      <c r="L53" s="3327"/>
      <c r="M53" s="2311" t="e">
        <f t="shared" ref="M53:O54" ca="1" si="0">D55</f>
        <v>#REF!</v>
      </c>
      <c r="N53" s="2309" t="str">
        <f t="shared" si="0"/>
        <v>销售额×税（费）率</v>
      </c>
      <c r="O53" s="2312" t="str">
        <f t="shared" si="0"/>
        <v>免征</v>
      </c>
    </row>
    <row r="54" spans="1:35" ht="12" customHeight="1">
      <c r="A54" s="2152" t="s">
        <v>1358</v>
      </c>
      <c r="B54" s="3288" t="s">
        <v>2292</v>
      </c>
      <c r="C54" s="3289"/>
      <c r="D54" s="1024" t="e">
        <f ca="1">C68</f>
        <v>#REF!</v>
      </c>
      <c r="E54" s="319" t="s">
        <v>1359</v>
      </c>
      <c r="F54" s="2339">
        <f>'数据-取费表'!B41</f>
        <v>5.6000000000000001E-2</v>
      </c>
      <c r="G54" s="2340"/>
      <c r="H54" s="2341"/>
      <c r="I54" s="1669"/>
      <c r="J54" s="2309">
        <v>3</v>
      </c>
      <c r="K54" s="3327" t="s">
        <v>1360</v>
      </c>
      <c r="L54" s="3327"/>
      <c r="M54" s="2311" t="e">
        <f t="shared" ca="1" si="0"/>
        <v>#REF!</v>
      </c>
      <c r="N54" s="2309" t="str">
        <f t="shared" si="0"/>
        <v>增值额×税（费）率</v>
      </c>
      <c r="O54" s="2313" t="str">
        <f t="shared" si="0"/>
        <v>免征</v>
      </c>
    </row>
    <row r="55" spans="1:35" ht="24" customHeight="1">
      <c r="A55" s="3277" t="s">
        <v>1361</v>
      </c>
      <c r="B55" s="3278"/>
      <c r="C55" s="3278"/>
      <c r="D55" s="12" t="e">
        <f ca="1">IF(H55="个人住宅",0,ROUND(D45*I55,0))</f>
        <v>#REF!</v>
      </c>
      <c r="E55" s="1256" t="s">
        <v>1362</v>
      </c>
      <c r="F55" s="2339" t="str">
        <f>IF(H55="正常",I55,"免征")</f>
        <v>免征</v>
      </c>
      <c r="G55" s="2340"/>
      <c r="H55" s="2336"/>
      <c r="I55" s="157">
        <f>'数据-取费表'!B49</f>
        <v>5.0000000000000001E-4</v>
      </c>
      <c r="J55" s="2309">
        <f>IF(H59="非个人房产","",4)</f>
        <v>4</v>
      </c>
      <c r="K55" s="3327" t="str">
        <f>IF(H59="非个人房产","——","个人所得税")</f>
        <v>个人所得税</v>
      </c>
      <c r="L55" s="3327"/>
      <c r="M55" s="2314" t="e">
        <f ca="1">D59</f>
        <v>#REF!</v>
      </c>
      <c r="N55" s="1883" t="str">
        <f>E59</f>
        <v>差额计税</v>
      </c>
      <c r="O55" s="2315">
        <f>F59</f>
        <v>0.01</v>
      </c>
    </row>
    <row r="56" spans="1:35" ht="24.75">
      <c r="A56" s="3277" t="s">
        <v>1363</v>
      </c>
      <c r="B56" s="3278"/>
      <c r="C56" s="3278"/>
      <c r="D56" s="12" t="e">
        <f ca="1">IF(H56="个人住宅",D57,D58)</f>
        <v>#REF!</v>
      </c>
      <c r="E56" s="1256" t="s">
        <v>1364</v>
      </c>
      <c r="F56" s="2339" t="str">
        <f>IF(H56="正常",F58,"免征")</f>
        <v>免征</v>
      </c>
      <c r="G56" s="2342" t="s">
        <v>1365</v>
      </c>
      <c r="H56" s="2343"/>
      <c r="I56" s="1670"/>
      <c r="J56" s="2309" t="str">
        <f>IF(项目基本情况!K6="上海银行",IF(J55="",4,J55+1),"")</f>
        <v/>
      </c>
      <c r="K56" s="3350" t="str">
        <f>IF(项目基本情况!K6="上海银行","其他处置费用","")</f>
        <v/>
      </c>
      <c r="L56" s="3351"/>
      <c r="M56" s="2311" t="str">
        <f>IF(项目基本情况!K6="上海银行",M69,"")</f>
        <v/>
      </c>
      <c r="N56" s="3350" t="str">
        <f>IF(项目基本情况!K6="上海银行","包含处置中涉及的律师、诉讼、拍卖、评估等费用","")</f>
        <v/>
      </c>
      <c r="O56" s="3353"/>
    </row>
    <row r="57" spans="1:35" ht="12.75">
      <c r="A57" s="2152" t="s">
        <v>1341</v>
      </c>
      <c r="B57" s="3288" t="s">
        <v>1366</v>
      </c>
      <c r="C57" s="3289"/>
      <c r="D57" s="1478">
        <v>0</v>
      </c>
      <c r="E57" s="316" t="s">
        <v>1343</v>
      </c>
      <c r="F57" s="294"/>
      <c r="G57" s="2340"/>
      <c r="H57" s="2344"/>
      <c r="I57" s="1670"/>
      <c r="J57" s="3327">
        <f>IF(AND(J55="",J56=""),4,IF(项目基本情况!K6="上海银行",结果表!J56+1,结果表!J55+1))</f>
        <v>5</v>
      </c>
      <c r="K57" s="3327" t="s">
        <v>1367</v>
      </c>
      <c r="L57" s="2316" t="s">
        <v>1368</v>
      </c>
      <c r="M57" s="2317"/>
      <c r="N57" s="2318">
        <f ca="1">SUMIF(M52:M56,"&lt;9e307")</f>
        <v>0</v>
      </c>
      <c r="O57" s="2319"/>
      <c r="P57" s="2463" t="e">
        <f ca="1">N57/M49</f>
        <v>#VALUE!</v>
      </c>
    </row>
    <row r="58" spans="1:35" ht="24.75">
      <c r="A58" s="2152" t="s">
        <v>1352</v>
      </c>
      <c r="B58" s="3288" t="s">
        <v>1369</v>
      </c>
      <c r="C58" s="3262"/>
      <c r="D58" s="12" t="e">
        <f ca="1">IF(H58="转让取得",C81,C97)</f>
        <v>#REF!</v>
      </c>
      <c r="E58" s="1256" t="s">
        <v>1364</v>
      </c>
      <c r="F58" s="294" t="s">
        <v>28</v>
      </c>
      <c r="G58" s="2340"/>
      <c r="H58" s="2343"/>
      <c r="I58" s="1670"/>
      <c r="J58" s="3327"/>
      <c r="K58" s="3327"/>
      <c r="L58" s="2316" t="s">
        <v>1370</v>
      </c>
      <c r="M58" s="2320"/>
      <c r="N58" s="2321" t="str">
        <f ca="1">NUMBERSTRING(INT(N57*10000),2)&amp;"元整"</f>
        <v>零元整</v>
      </c>
      <c r="O58" s="2322"/>
    </row>
    <row r="59" spans="1:35" ht="24.75" thickBot="1">
      <c r="A59" s="3330" t="s">
        <v>1371</v>
      </c>
      <c r="B59" s="3331"/>
      <c r="C59" s="3331"/>
      <c r="D59" s="2345" t="e">
        <f ca="1">IF(H59="非个人房产","——",IF(H59="个人住宅（满五唯一有凭证）",0,IF(H59="个人其他（无凭证）",ROUND(D45*F59,0),ROUND(C67*F59,0))))</f>
        <v>#REF!</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328">
        <f>J57+1</f>
        <v>6</v>
      </c>
      <c r="K59" s="3327" t="s">
        <v>1372</v>
      </c>
      <c r="L59" s="2309" t="s">
        <v>1368</v>
      </c>
      <c r="M59" s="2323"/>
      <c r="N59" s="2324" t="e">
        <f ca="1">M49-N57</f>
        <v>#VALUE!</v>
      </c>
      <c r="O59" s="2325"/>
    </row>
    <row r="60" spans="1:35" ht="12" customHeight="1">
      <c r="A60" s="1671"/>
      <c r="B60" s="646"/>
      <c r="C60" s="646"/>
      <c r="D60" s="646"/>
      <c r="E60" s="1466"/>
      <c r="F60" s="1670"/>
      <c r="G60" s="1670"/>
      <c r="H60" s="151"/>
      <c r="I60" s="121"/>
      <c r="J60" s="3329"/>
      <c r="K60" s="3327"/>
      <c r="L60" s="2316" t="s">
        <v>1370</v>
      </c>
      <c r="M60" s="2320"/>
      <c r="N60" s="2321" t="e">
        <f ca="1">NUMBERSTRING(INT(N59*10000),2)&amp;"元整"</f>
        <v>#VALUE!</v>
      </c>
      <c r="O60" s="2322"/>
    </row>
    <row r="61" spans="1:35" ht="13.5" thickBot="1">
      <c r="A61" s="3275" t="s">
        <v>1373</v>
      </c>
      <c r="B61" s="3275"/>
      <c r="C61" s="3275"/>
      <c r="D61" s="3275"/>
      <c r="E61" s="3275"/>
      <c r="F61" s="1670"/>
      <c r="G61" s="1670"/>
      <c r="H61" s="151"/>
      <c r="I61" s="121"/>
      <c r="J61" s="2309">
        <f>J59+1</f>
        <v>7</v>
      </c>
      <c r="K61" s="3327" t="s">
        <v>1374</v>
      </c>
      <c r="L61" s="3327"/>
      <c r="M61" s="2326"/>
      <c r="N61" s="2327" t="e">
        <f ca="1">ROUND(N59*10000/'数据-汇总表'!E3,0)</f>
        <v>#VALUE!</v>
      </c>
      <c r="O61" s="2328"/>
    </row>
    <row r="62" spans="1:35" ht="12.75">
      <c r="A62" s="3293" t="s">
        <v>1375</v>
      </c>
      <c r="B62" s="3294"/>
      <c r="C62" s="1865"/>
      <c r="D62" s="1865" t="s">
        <v>1376</v>
      </c>
      <c r="E62" s="158" t="s">
        <v>1377</v>
      </c>
      <c r="F62" s="1670"/>
      <c r="G62" s="1670"/>
      <c r="H62" s="151"/>
      <c r="I62" s="121"/>
    </row>
    <row r="63" spans="1:35" ht="12.75">
      <c r="A63" s="165" t="s">
        <v>330</v>
      </c>
      <c r="B63" s="159" t="s">
        <v>1378</v>
      </c>
      <c r="C63" s="2349" t="e">
        <f ca="1">ROUND((C64+C65)/(1+'数据-取费表'!C42),0)</f>
        <v>#REF!</v>
      </c>
      <c r="D63" s="159"/>
      <c r="E63" s="160"/>
      <c r="F63" s="1670"/>
      <c r="G63" s="1670"/>
      <c r="H63" s="151"/>
      <c r="I63" s="121"/>
      <c r="J63" s="3352"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t="e">
        <f ca="1">D45</f>
        <v>#REF!</v>
      </c>
      <c r="D64" s="162" t="s">
        <v>26</v>
      </c>
      <c r="E64" s="164"/>
      <c r="F64" s="1670"/>
      <c r="G64" s="1670"/>
      <c r="H64" s="151"/>
      <c r="I64" s="121"/>
      <c r="J64" s="3352"/>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352"/>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352"/>
      <c r="K66" s="1245" t="s">
        <v>1387</v>
      </c>
      <c r="L66" s="1245" t="e">
        <f>M49*0.5%</f>
        <v>#VALUE!</v>
      </c>
      <c r="M66" s="294" t="e">
        <f>IF(L66&gt;0.5,0.5,ROUND(L66,0))</f>
        <v>#VALUE!</v>
      </c>
      <c r="N66" s="2330" t="s">
        <v>1388</v>
      </c>
      <c r="Z66" s="1623"/>
      <c r="AI66" s="1561"/>
    </row>
    <row r="67" spans="1:35" ht="14.25" customHeight="1">
      <c r="A67" s="165" t="s">
        <v>328</v>
      </c>
      <c r="B67" s="166" t="s">
        <v>1389</v>
      </c>
      <c r="C67" s="2353" t="e">
        <f ca="1">C63-C66</f>
        <v>#REF!</v>
      </c>
      <c r="D67" s="162" t="s">
        <v>26</v>
      </c>
      <c r="E67" s="164"/>
      <c r="F67" s="1670"/>
      <c r="G67" s="1670"/>
      <c r="H67" s="151"/>
      <c r="I67" s="121"/>
      <c r="J67" s="3352"/>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t="e">
        <f ca="1">IF(C67&lt;=0,0,ROUND(C67*D68,0))</f>
        <v>#REF!</v>
      </c>
      <c r="D68" s="2355">
        <f>'数据-取费表'!B41</f>
        <v>5.6000000000000001E-2</v>
      </c>
      <c r="E68" s="170"/>
      <c r="F68" s="1670"/>
      <c r="G68" s="1670"/>
      <c r="H68" s="151"/>
      <c r="I68" s="121"/>
      <c r="J68" s="3352"/>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352"/>
      <c r="K69" s="1245" t="s">
        <v>1393</v>
      </c>
      <c r="L69" s="1245"/>
      <c r="M69" s="294" t="e">
        <f>ROUND(SUM(M63:M68),0)</f>
        <v>#VALUE!</v>
      </c>
      <c r="N69" s="2331" t="e">
        <f>M69/M49</f>
        <v>#VALUE!</v>
      </c>
      <c r="Z69" s="1623"/>
      <c r="AI69" s="1561"/>
    </row>
    <row r="70" spans="1:35" s="642" customFormat="1" ht="15" thickBot="1">
      <c r="A70" s="3314" t="s">
        <v>1394</v>
      </c>
      <c r="B70" s="3315"/>
      <c r="C70" s="3315"/>
      <c r="D70" s="3315"/>
      <c r="E70" s="3315"/>
      <c r="F70" s="3315"/>
      <c r="G70" s="3315"/>
      <c r="H70" s="3315"/>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93" t="s">
        <v>1375</v>
      </c>
      <c r="B71" s="3294"/>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3"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3"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88" t="s">
        <v>1402</v>
      </c>
      <c r="F76" s="3262"/>
      <c r="G76" s="3262"/>
      <c r="H76" s="3313"/>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0"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t="e">
        <f ca="1">ROUND(D45*D78/(1+'数据-取费表'!C42),0)</f>
        <v>#REF!</v>
      </c>
      <c r="D78" s="2362">
        <f>'数据-取费表'!B43</f>
        <v>6.000000000000001E-3</v>
      </c>
      <c r="E78" s="3272" t="s">
        <v>1406</v>
      </c>
      <c r="F78" s="3273"/>
      <c r="G78" s="3273"/>
      <c r="H78" s="3282"/>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3"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4" t="e">
        <f ca="1">ROUND(IF(C79&lt;=0,0,IF(C80&gt;=200%,C79*60%-C73*35%,IF(C80&gt;=100%,C79*50%-C73*15%,IF(C80&gt;=50%,C79*40%-C73*5%,IF(C80&lt;50%,C79*30%,0))))),0)</f>
        <v>#REF!</v>
      </c>
      <c r="D81" s="2365"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14" t="s">
        <v>1410</v>
      </c>
      <c r="B83" s="3315"/>
      <c r="C83" s="3315"/>
      <c r="D83" s="3315"/>
      <c r="E83" s="3315"/>
      <c r="F83" s="3315"/>
      <c r="G83" s="3315"/>
      <c r="H83" s="3315"/>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93" t="s">
        <v>1375</v>
      </c>
      <c r="B84" s="3294"/>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3"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3" t="e">
        <f ca="1">IF(H88="仅含出让金",C87+C90+C91+C92+C93+C94,C87+C91+C92+C93+C94)</f>
        <v>#REF!</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1">
        <f>C88+C89</f>
        <v>0</v>
      </c>
      <c r="D87" s="2362"/>
      <c r="E87" s="2146"/>
      <c r="F87" s="2147"/>
      <c r="G87" s="2147"/>
      <c r="H87" s="2148"/>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7"/>
      <c r="D88" s="2362"/>
      <c r="E88" s="185" t="s">
        <v>1413</v>
      </c>
      <c r="F88" s="2147"/>
      <c r="G88" s="186" t="s">
        <v>1414</v>
      </c>
      <c r="H88" s="1684"/>
      <c r="I88" s="1681"/>
      <c r="J88" s="2307"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1">
        <f>ROUND(C88*D89,0)</f>
        <v>0</v>
      </c>
      <c r="D89" s="2362">
        <f>'数据-取费表'!B48+'数据-取费表'!B49</f>
        <v>3.0499999999999999E-2</v>
      </c>
      <c r="E89" s="185" t="s">
        <v>1415</v>
      </c>
      <c r="F89" s="2147"/>
      <c r="G89" s="2147"/>
      <c r="H89" s="2148"/>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7"/>
      <c r="D90" s="2362"/>
      <c r="E90" s="185" t="str">
        <f>IF(H88="-","土地取得成本中已包含该笔费用"," ")</f>
        <v xml:space="preserve"> </v>
      </c>
      <c r="F90" s="2147"/>
      <c r="G90" s="3354" t="s">
        <v>2129</v>
      </c>
      <c r="H90" s="3355"/>
      <c r="I90" s="1681"/>
      <c r="J90" s="2307"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72" t="s">
        <v>1419</v>
      </c>
      <c r="F91" s="3273"/>
      <c r="G91" s="3273"/>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72" t="s">
        <v>1422</v>
      </c>
      <c r="F92" s="3273"/>
      <c r="G92" s="3273"/>
      <c r="H92" s="3282"/>
      <c r="I92" s="1681"/>
      <c r="J92" s="2308"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t="e">
        <f ca="1">ROUND(D45*D93/(1+'数据-取费表'!C42),0)</f>
        <v>#REF!</v>
      </c>
      <c r="D93" s="2362">
        <f>'数据-取费表'!B43</f>
        <v>6.000000000000001E-3</v>
      </c>
      <c r="E93" s="3272" t="s">
        <v>1406</v>
      </c>
      <c r="F93" s="3273"/>
      <c r="G93" s="3273"/>
      <c r="H93" s="3282"/>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283" t="s">
        <v>1426</v>
      </c>
      <c r="F94" s="3284"/>
      <c r="G94" s="3284"/>
      <c r="H94" s="3285"/>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3"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4" t="e">
        <f ca="1">ROUND(IF(C95&lt;=0,0,IF(C96&gt;=200%,C95*60%-C86*35%,IF(C96&gt;=100%,C95*50%-C86*15%,IF(C96&gt;=50%,C95*40%-C86*5%,IF(C96&lt;50%,C95*30%,0))))),0)</f>
        <v>#REF!</v>
      </c>
      <c r="D97" s="2365"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56" t="s">
        <v>1428</v>
      </c>
      <c r="B100" s="3257"/>
      <c r="C100" s="3257"/>
      <c r="D100" s="3274"/>
      <c r="E100" s="3257" t="s">
        <v>1429</v>
      </c>
      <c r="F100" s="3257"/>
      <c r="G100" s="3257"/>
      <c r="H100" s="3274"/>
      <c r="I100" s="121"/>
    </row>
    <row r="101" spans="1:35" ht="18.75" customHeight="1">
      <c r="A101" s="3335" t="s">
        <v>1430</v>
      </c>
      <c r="B101" s="3336"/>
      <c r="C101" s="2370" t="str">
        <f>C4</f>
        <v>成本法 (元)</v>
      </c>
      <c r="D101" s="2371" t="str">
        <f>D4</f>
        <v>比较法-商业</v>
      </c>
      <c r="E101" s="3349" t="s">
        <v>1431</v>
      </c>
      <c r="F101" s="3306"/>
      <c r="G101" s="1687" t="s">
        <v>1432</v>
      </c>
      <c r="H101" s="2380" t="e">
        <f ca="1">H118</f>
        <v>#REF!</v>
      </c>
      <c r="I101" s="121"/>
    </row>
    <row r="102" spans="1:35" ht="18.75" customHeight="1">
      <c r="A102" s="3308" t="s">
        <v>1433</v>
      </c>
      <c r="B102" s="2369" t="s">
        <v>1432</v>
      </c>
      <c r="C102" s="2370">
        <f ca="1">IF(D32="楼面单价",ROUND(C19,0),C19)</f>
        <v>162.23269999999999</v>
      </c>
      <c r="D102" s="2371">
        <f ca="1">IF(D32="楼面单价",ROUND(D19,0),D19)</f>
        <v>275.74869999999999</v>
      </c>
      <c r="E102" s="3349"/>
      <c r="F102" s="3306"/>
      <c r="G102" s="1687" t="s">
        <v>1434</v>
      </c>
      <c r="H102" s="2340" t="e">
        <f ca="1">I118</f>
        <v>#REF!</v>
      </c>
      <c r="I102" s="121"/>
    </row>
    <row r="103" spans="1:35" ht="42.75" customHeight="1">
      <c r="A103" s="3308"/>
      <c r="B103" s="2369" t="s">
        <v>1434</v>
      </c>
      <c r="C103" s="2372">
        <f ca="1">C20</f>
        <v>23299</v>
      </c>
      <c r="D103" s="2373">
        <f ca="1">D20</f>
        <v>39602</v>
      </c>
      <c r="E103" s="3343" t="s">
        <v>1435</v>
      </c>
      <c r="F103" s="3344"/>
      <c r="G103" s="1688" t="s">
        <v>1436</v>
      </c>
      <c r="H103" s="2380">
        <f>IF(D36="正常操作",H104+H105+H106,H105+H106)</f>
        <v>0</v>
      </c>
      <c r="I103" s="121"/>
    </row>
    <row r="104" spans="1:35" ht="18.75" customHeight="1">
      <c r="A104" s="3308" t="s">
        <v>1437</v>
      </c>
      <c r="B104" s="2374" t="s">
        <v>1432</v>
      </c>
      <c r="C104" s="2375" t="e">
        <f ca="1">H118</f>
        <v>#REF!</v>
      </c>
      <c r="D104" s="2376"/>
      <c r="E104" s="1555" t="s">
        <v>1438</v>
      </c>
      <c r="F104" s="1548"/>
      <c r="G104" s="1688" t="s">
        <v>1436</v>
      </c>
      <c r="H104" s="2381">
        <f>IF(D36="同一抵押权人同一抵押物续贷",C36&amp;"（续贷，未扣减，详见特别提示）",C36)</f>
        <v>0</v>
      </c>
      <c r="I104" s="121"/>
    </row>
    <row r="105" spans="1:35" ht="18.75" customHeight="1" thickBot="1">
      <c r="A105" s="3309"/>
      <c r="B105" s="2377" t="s">
        <v>1434</v>
      </c>
      <c r="C105" s="2378" t="e">
        <f ca="1">I118</f>
        <v>#REF!</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305" t="str">
        <f>IF(项目基本情况!E8="已注销","——","3.房地产抵押价值")</f>
        <v>3.房地产抵押价值</v>
      </c>
      <c r="F107" s="3306"/>
      <c r="G107" s="1687" t="s">
        <v>1432</v>
      </c>
      <c r="H107" s="2380" t="e">
        <f ca="1">IF(E107="——","——",H101-H103)</f>
        <v>#REF!</v>
      </c>
      <c r="I107" s="121"/>
    </row>
    <row r="108" spans="1:35" ht="18.75" customHeight="1">
      <c r="A108" s="121"/>
      <c r="B108" s="121"/>
      <c r="C108" s="121"/>
      <c r="D108" s="121"/>
      <c r="E108" s="3305"/>
      <c r="F108" s="3306"/>
      <c r="G108" s="1687" t="s">
        <v>1434</v>
      </c>
      <c r="H108" s="2340">
        <f ca="1">IF(H107=H101,H102,ROUND(H107*10000/'数据-汇总表'!E3,0))</f>
        <v>0</v>
      </c>
      <c r="I108" s="121"/>
    </row>
    <row r="109" spans="1:35" ht="18.75" customHeight="1">
      <c r="A109" s="121"/>
      <c r="B109" s="121"/>
      <c r="C109" s="121"/>
      <c r="D109" s="121"/>
      <c r="E109" s="3305" t="str">
        <f>IF(项目基本情况!E8="已注销及未注销","4.抵押担保权已注销时的房地产抵押价值",IF(项目基本情况!E8="已注销","3.抵押担保权已注销时的房地产抵押价值","——"))</f>
        <v>——</v>
      </c>
      <c r="F109" s="3306"/>
      <c r="G109" s="1687" t="s">
        <v>1432</v>
      </c>
      <c r="H109" s="2383" t="str">
        <f>IF(E109="——","——",H101-H105-H106)</f>
        <v>——</v>
      </c>
      <c r="I109" s="121"/>
    </row>
    <row r="110" spans="1:35" ht="18.75" customHeight="1">
      <c r="A110" s="121"/>
      <c r="B110" s="121"/>
      <c r="C110" s="121"/>
      <c r="D110" s="121"/>
      <c r="E110" s="3305"/>
      <c r="F110" s="3306"/>
      <c r="G110" s="1687" t="s">
        <v>1434</v>
      </c>
      <c r="H110" s="2340" t="str">
        <f>IF(H109="——","——",ROUND(H109*10000/'数据-汇总表'!E3,0))</f>
        <v>——</v>
      </c>
      <c r="I110" s="121"/>
    </row>
    <row r="111" spans="1:35" ht="18.75" customHeight="1">
      <c r="A111" s="121"/>
      <c r="B111" s="121"/>
      <c r="C111" s="121"/>
      <c r="D111" s="121"/>
      <c r="E111" s="3337" t="str">
        <f>IF(项目基本情况!E9="抵押净值",IF(OR(项目基本情况!E8="已注销",项目基本情况!E8="房地产抵押价值"),"4.抵押净值","5.抵押净值"),"——")</f>
        <v>——</v>
      </c>
      <c r="F111" s="3307"/>
      <c r="G111" s="1687" t="s">
        <v>1432</v>
      </c>
      <c r="H111" s="2380" t="str">
        <f>IF(E111="——","——",N59)</f>
        <v>——</v>
      </c>
      <c r="I111" s="121"/>
    </row>
    <row r="112" spans="1:35" ht="18.75" customHeight="1" thickBot="1">
      <c r="A112" s="121"/>
      <c r="B112" s="121"/>
      <c r="C112" s="121"/>
      <c r="D112" s="121"/>
      <c r="E112" s="3338"/>
      <c r="F112" s="3339"/>
      <c r="G112" s="1690" t="s">
        <v>1434</v>
      </c>
      <c r="H112" s="2384" t="str">
        <f>IF(E111="——","——",N61)</f>
        <v>——</v>
      </c>
      <c r="I112" s="121"/>
    </row>
    <row r="113" spans="1:27" ht="18.75" customHeight="1">
      <c r="A113" s="121"/>
      <c r="B113" s="121"/>
      <c r="C113" s="121"/>
      <c r="D113" s="121"/>
      <c r="E113" s="3310" t="s">
        <v>1440</v>
      </c>
      <c r="F113" s="3310"/>
      <c r="G113" s="3310"/>
      <c r="H113" s="3310"/>
      <c r="I113" s="121"/>
    </row>
    <row r="114" spans="1:27" ht="3.75" customHeight="1">
      <c r="A114" s="646"/>
      <c r="B114" s="646"/>
      <c r="C114" s="646"/>
      <c r="D114" s="646"/>
      <c r="E114" s="1671"/>
      <c r="F114" s="1671"/>
      <c r="G114" s="1671"/>
      <c r="H114" s="1671"/>
      <c r="I114" s="646"/>
    </row>
    <row r="115" spans="1:27" ht="18.75" customHeight="1">
      <c r="A115" s="3320" t="s">
        <v>1442</v>
      </c>
      <c r="B115" s="3321"/>
      <c r="C115" s="3321"/>
      <c r="D115" s="3321"/>
      <c r="E115" s="3321"/>
      <c r="F115" s="3321"/>
      <c r="G115" s="3321"/>
      <c r="H115" s="3321"/>
      <c r="I115" s="3322"/>
    </row>
    <row r="116" spans="1:27" ht="27" customHeight="1">
      <c r="A116" s="3276" t="s">
        <v>1443</v>
      </c>
      <c r="B116" s="3311" t="s">
        <v>1444</v>
      </c>
      <c r="C116" s="3311" t="s">
        <v>1445</v>
      </c>
      <c r="D116" s="3324" t="s">
        <v>1446</v>
      </c>
      <c r="E116" s="3325"/>
      <c r="F116" s="3319" t="s">
        <v>1447</v>
      </c>
      <c r="G116" s="3319"/>
      <c r="H116" s="3276" t="s">
        <v>1448</v>
      </c>
      <c r="I116" s="3276"/>
    </row>
    <row r="117" spans="1:27" ht="18.75" customHeight="1">
      <c r="A117" s="3276"/>
      <c r="B117" s="3312"/>
      <c r="C117" s="3312"/>
      <c r="D117" s="2149" t="s">
        <v>1449</v>
      </c>
      <c r="E117" s="2149" t="s">
        <v>1450</v>
      </c>
      <c r="F117" s="2149" t="s">
        <v>1449</v>
      </c>
      <c r="G117" s="2149" t="s">
        <v>1451</v>
      </c>
      <c r="H117" s="2149" t="s">
        <v>1449</v>
      </c>
      <c r="I117" s="2149" t="s">
        <v>1451</v>
      </c>
    </row>
    <row r="118" spans="1:27" ht="24.75" customHeight="1">
      <c r="A118" s="2385" t="str">
        <f>项目基本情况!S2</f>
        <v>北京市房地产</v>
      </c>
      <c r="B118" s="2149">
        <f>M18</f>
        <v>69.63</v>
      </c>
      <c r="C118" s="2149">
        <f>M19</f>
        <v>0</v>
      </c>
      <c r="D118" s="2149" t="e">
        <f ca="1">ROUND(IF(D32="总价",C34,E118*B118/10000),0)</f>
        <v>#REF!</v>
      </c>
      <c r="E118" s="2149" t="e">
        <f ca="1">ROUND(IF(C33="自定义",IF(D32="楼面单价",C34,D118*10000/B118),I118-G118),0)</f>
        <v>#REF!</v>
      </c>
      <c r="F118" s="2149" t="e">
        <f ca="1">ROUND(IF(D32="总价",C35,G118*B118/10000),0)</f>
        <v>#REF!</v>
      </c>
      <c r="G118" s="2149" t="e">
        <f ca="1">ROUND(IF(D32="楼面单价",C35,F118*10000/B118),0)</f>
        <v>#REF!</v>
      </c>
      <c r="H118" s="2149" t="e">
        <f ca="1">ROUND(IF(D32="总价",C32,I118*B118/10000),0)</f>
        <v>#REF!</v>
      </c>
      <c r="I118" s="2149" t="e">
        <f ca="1">ROUND(IF(D32="楼面单价",C32,H118*10000/B118),0)</f>
        <v>#REF!</v>
      </c>
    </row>
    <row r="119" spans="1:27" ht="18.75" customHeight="1">
      <c r="A119" s="3276" t="s">
        <v>1452</v>
      </c>
      <c r="B119" s="3276"/>
      <c r="C119" s="3276"/>
      <c r="D119" s="3316" t="e">
        <f ca="1">NUMBERSTRING(INT(D118*10000),2)&amp;"元整"</f>
        <v>#REF!</v>
      </c>
      <c r="E119" s="3318"/>
      <c r="F119" s="3316" t="e">
        <f ca="1">NUMBERSTRING(INT(F118*10000),2)&amp;"元整"</f>
        <v>#REF!</v>
      </c>
      <c r="G119" s="3318"/>
      <c r="H119" s="3316" t="e">
        <f ca="1">NUMBERSTRING(INT(H118*10000),2)&amp;"元整"</f>
        <v>#REF!</v>
      </c>
      <c r="I119" s="3318"/>
    </row>
    <row r="120" spans="1:27" ht="18.75" customHeight="1">
      <c r="A120" s="3340" t="str">
        <f>IF(项目基本情况!B9="房地产市场价值","",MID(E103,3,LEN(E103)-2))</f>
        <v/>
      </c>
      <c r="B120" s="3341"/>
      <c r="C120" s="3342"/>
      <c r="D120" s="3340">
        <f>H103</f>
        <v>0</v>
      </c>
      <c r="E120" s="3341"/>
      <c r="F120" s="3341"/>
      <c r="G120" s="3341"/>
      <c r="H120" s="3341"/>
      <c r="I120" s="3342"/>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316" t="s">
        <v>1452</v>
      </c>
      <c r="B121" s="3317"/>
      <c r="C121" s="3318"/>
      <c r="D121" s="3316" t="str">
        <f>IF(D120=0,"零元整",NUMBERSTRING(INT(D120*10000),2)&amp;"元整")</f>
        <v>零元整</v>
      </c>
      <c r="E121" s="3317"/>
      <c r="F121" s="3317"/>
      <c r="G121" s="3317"/>
      <c r="H121" s="3317"/>
      <c r="I121" s="3318"/>
      <c r="AA121" s="684"/>
    </row>
    <row r="122" spans="1:27" ht="18.75" customHeight="1">
      <c r="A122" s="3307" t="str">
        <f>IF(项目基本情况!B9="房地产市场价值","",MID(E107,3,LEN(E107)-2))</f>
        <v/>
      </c>
      <c r="B122" s="3307"/>
      <c r="C122" s="3307"/>
      <c r="D122" s="3340" t="e">
        <f ca="1">H107</f>
        <v>#REF!</v>
      </c>
      <c r="E122" s="3341"/>
      <c r="F122" s="3341"/>
      <c r="G122" s="3341"/>
      <c r="H122" s="3341"/>
      <c r="I122" s="3342"/>
      <c r="AA122" s="684"/>
    </row>
    <row r="123" spans="1:27" ht="18.75" customHeight="1">
      <c r="A123" s="3276" t="s">
        <v>1452</v>
      </c>
      <c r="B123" s="3276"/>
      <c r="C123" s="3276"/>
      <c r="D123" s="3316" t="e">
        <f ca="1">NUMBERSTRING(INT(D122*10000),2)&amp;"元整"</f>
        <v>#REF!</v>
      </c>
      <c r="E123" s="3317"/>
      <c r="F123" s="3317"/>
      <c r="G123" s="3317"/>
      <c r="H123" s="3317"/>
      <c r="I123" s="3318"/>
      <c r="AA123" s="684"/>
    </row>
    <row r="124" spans="1:27" ht="18.75" customHeight="1">
      <c r="A124" s="3307" t="str">
        <f>IF(项目基本情况!B9="房地产市场价值","",MID(E109,3,LEN(E109)-2))</f>
        <v/>
      </c>
      <c r="B124" s="3307"/>
      <c r="C124" s="3307"/>
      <c r="D124" s="3340" t="str">
        <f>H109</f>
        <v>——</v>
      </c>
      <c r="E124" s="3341"/>
      <c r="F124" s="3341"/>
      <c r="G124" s="3341"/>
      <c r="H124" s="3341"/>
      <c r="I124" s="3342"/>
      <c r="AA124" s="684"/>
    </row>
    <row r="125" spans="1:27" ht="18.75" customHeight="1">
      <c r="A125" s="3276" t="s">
        <v>1452</v>
      </c>
      <c r="B125" s="3276"/>
      <c r="C125" s="3276"/>
      <c r="D125" s="3316" t="e">
        <f>NUMBERSTRING(INT(D124*10000),2)&amp;"元整"</f>
        <v>#VALUE!</v>
      </c>
      <c r="E125" s="3317"/>
      <c r="F125" s="3317"/>
      <c r="G125" s="3317"/>
      <c r="H125" s="3317"/>
      <c r="I125" s="3318"/>
      <c r="AA125" s="684"/>
    </row>
    <row r="126" spans="1:27" ht="18.75" customHeight="1">
      <c r="A126" s="3307" t="str">
        <f>IF(项目基本情况!B9="房地产市场价值","",MID(E111,3,LEN(E111)-2))</f>
        <v/>
      </c>
      <c r="B126" s="3307"/>
      <c r="C126" s="3307"/>
      <c r="D126" s="3340" t="str">
        <f>H111</f>
        <v>——</v>
      </c>
      <c r="E126" s="3341"/>
      <c r="F126" s="3341"/>
      <c r="G126" s="3341"/>
      <c r="H126" s="3341"/>
      <c r="I126" s="3342"/>
      <c r="AA126" s="684"/>
    </row>
    <row r="127" spans="1:27" ht="18.75" customHeight="1">
      <c r="A127" s="3276" t="s">
        <v>1452</v>
      </c>
      <c r="B127" s="3276"/>
      <c r="C127" s="3276"/>
      <c r="D127" s="3316" t="e">
        <f>NUMBERSTRING(INT(D126*10000),2)&amp;"元整"</f>
        <v>#VALUE!</v>
      </c>
      <c r="E127" s="3317"/>
      <c r="F127" s="3317"/>
      <c r="G127" s="3317"/>
      <c r="H127" s="3317"/>
      <c r="I127" s="3318"/>
      <c r="AA127" s="684"/>
    </row>
    <row r="128" spans="1:27" ht="21.75" customHeight="1">
      <c r="A128" s="3323" t="s">
        <v>1453</v>
      </c>
      <c r="B128" s="3323"/>
      <c r="C128" s="3323"/>
      <c r="D128" s="3323"/>
      <c r="E128" s="3323"/>
      <c r="F128" s="3323"/>
      <c r="G128" s="3323"/>
      <c r="H128" s="3323"/>
      <c r="I128" s="3323"/>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19551</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2807841</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13926</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13926</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1</v>
      </c>
      <c r="D10" s="795">
        <f ca="1">IF(B1="",'数据-汇总表'!E6,IF(INDIRECT("'数据-取费表'!c"&amp;$G$1)="住宅",INDIRECT("'数据-取费表'!s"&amp;$G$1),INDIRECT("'数据-取费表'!k"&amp;$G$1)+INDIRECT("'数据-取费表'!s"&amp;$G$1)))</f>
        <v>69.63</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v>
      </c>
      <c r="D19" s="204">
        <f ca="1">D9+D10</f>
        <v>69.63</v>
      </c>
      <c r="E19" s="203">
        <f>'数据-取费表'!B31</f>
        <v>200</v>
      </c>
      <c r="F19" s="223"/>
      <c r="G19" s="1714"/>
    </row>
    <row r="20" spans="1:7" s="206" customFormat="1" ht="13.5" customHeight="1">
      <c r="A20" s="247" t="s">
        <v>1493</v>
      </c>
      <c r="B20" s="202" t="s">
        <v>1494</v>
      </c>
      <c r="C20" s="224">
        <f ca="1">ROUND((C5+C19)*F20,0)</f>
        <v>139</v>
      </c>
      <c r="D20" s="224"/>
      <c r="E20" s="224"/>
      <c r="F20" s="225">
        <f>'数据-取费表'!B37</f>
        <v>0.01</v>
      </c>
      <c r="G20" s="226" t="s">
        <v>1495</v>
      </c>
    </row>
    <row r="21" spans="1:7" s="206" customFormat="1" ht="13.5" customHeight="1">
      <c r="A21" s="247" t="s">
        <v>1496</v>
      </c>
      <c r="B21" s="202" t="s">
        <v>1497</v>
      </c>
      <c r="C21" s="227">
        <f>F21</f>
        <v>0.01</v>
      </c>
      <c r="D21" s="228" t="s">
        <v>1498</v>
      </c>
      <c r="E21" s="224"/>
      <c r="F21" s="225">
        <f>'数据-取费表'!B38</f>
        <v>0.01</v>
      </c>
      <c r="G21" s="226" t="s">
        <v>1499</v>
      </c>
    </row>
    <row r="22" spans="1:7" s="206" customFormat="1" ht="13.5" customHeight="1">
      <c r="A22" s="247" t="s">
        <v>1500</v>
      </c>
      <c r="B22" s="202" t="s">
        <v>1501</v>
      </c>
      <c r="C22" s="1041">
        <f ca="1">ROUND(SUM(C23:C25),0)</f>
        <v>1361</v>
      </c>
      <c r="D22" s="227">
        <f ca="1">C26</f>
        <v>5.0000000000000001E-4</v>
      </c>
      <c r="E22" s="228" t="s">
        <v>1498</v>
      </c>
      <c r="F22" s="229">
        <f ca="1">'数据-取费表'!B40</f>
        <v>4.7500000000000001E-2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1354</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7</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2813</v>
      </c>
      <c r="D27" s="227">
        <f ca="1">C29</f>
        <v>2E-3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2813</v>
      </c>
      <c r="D28" s="227"/>
      <c r="E28" s="228"/>
      <c r="F28" s="238"/>
      <c r="G28" s="239"/>
    </row>
    <row r="29" spans="1:7" s="206" customFormat="1" ht="13.5" customHeight="1">
      <c r="A29" s="734" t="s">
        <v>347</v>
      </c>
      <c r="B29" s="240" t="s">
        <v>1517</v>
      </c>
      <c r="C29" s="230">
        <f ca="1">ROUND(C21*F27*'数据-取费表'!B21/'数据-取费表'!B20,4)</f>
        <v>2E-3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19525</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26</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24</v>
      </c>
      <c r="D34" s="209"/>
      <c r="E34" s="212"/>
      <c r="F34" s="249">
        <f ca="1">IF('数据-取费表'!B24=0,1,IF(B1="",'数据-取费表'!N16,INDIRECT("'数据-取费表'!n"&amp;$G$1)))</f>
        <v>1</v>
      </c>
      <c r="G34" s="211" t="s">
        <v>1526</v>
      </c>
    </row>
    <row r="35" spans="1:7" ht="13.5" customHeight="1">
      <c r="A35" s="734" t="s">
        <v>351</v>
      </c>
      <c r="B35" s="207" t="s">
        <v>1527</v>
      </c>
      <c r="C35" s="212">
        <f ca="1">ROUND(C34*F35,0)</f>
        <v>1</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v>
      </c>
      <c r="D37" s="209">
        <f ca="1">D19</f>
        <v>69.63</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0</v>
      </c>
      <c r="D39" s="224"/>
      <c r="E39" s="224"/>
      <c r="F39" s="225">
        <f>F20</f>
        <v>0.01</v>
      </c>
      <c r="G39" s="226" t="s">
        <v>1536</v>
      </c>
    </row>
    <row r="40" spans="1:7" s="206" customFormat="1" ht="13.5" customHeight="1">
      <c r="A40" s="247" t="s">
        <v>1537</v>
      </c>
      <c r="B40" s="202" t="s">
        <v>1538</v>
      </c>
      <c r="C40" s="227">
        <f>F21</f>
        <v>0.01</v>
      </c>
      <c r="D40" s="228" t="s">
        <v>1539</v>
      </c>
      <c r="E40" s="224"/>
      <c r="F40" s="225">
        <f>F21</f>
        <v>0.01</v>
      </c>
      <c r="G40" s="226" t="s">
        <v>1540</v>
      </c>
    </row>
    <row r="41" spans="1:7" s="206" customFormat="1" ht="13.5" customHeight="1">
      <c r="A41" s="247" t="s">
        <v>1541</v>
      </c>
      <c r="B41" s="202" t="s">
        <v>1542</v>
      </c>
      <c r="C41" s="224">
        <f ca="1">ROUND(SUM(C42:C43),0)</f>
        <v>1</v>
      </c>
      <c r="D41" s="227">
        <f ca="1">C44</f>
        <v>5.0000000000000001E-4</v>
      </c>
      <c r="E41" s="228" t="s">
        <v>1539</v>
      </c>
      <c r="F41" s="229">
        <f ca="1">F22</f>
        <v>4.7500000000000001E-2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v>
      </c>
      <c r="D42" s="230"/>
      <c r="E42" s="230"/>
      <c r="F42" s="231"/>
      <c r="G42" s="3356" t="s">
        <v>1544</v>
      </c>
    </row>
    <row r="43" spans="1:7" ht="13.5" customHeight="1">
      <c r="A43" s="734" t="s">
        <v>347</v>
      </c>
      <c r="B43" s="207" t="s">
        <v>1545</v>
      </c>
      <c r="C43" s="230">
        <f ca="1">ROUND(IF('数据-取费表'!B22&lt;=1,C39*F22*'数据-取费表'!B21/2,C39*(POWER((1+F22),'数据-取费表'!B21/2)-1)),0)</f>
        <v>0</v>
      </c>
      <c r="D43" s="230"/>
      <c r="E43" s="230"/>
      <c r="F43" s="231"/>
      <c r="G43" s="3357"/>
    </row>
    <row r="44" spans="1:7" ht="13.5" customHeight="1">
      <c r="A44" s="734" t="s">
        <v>348</v>
      </c>
      <c r="B44" s="207" t="s">
        <v>1546</v>
      </c>
      <c r="C44" s="230">
        <f ca="1">ROUND(IF('数据-取费表'!B22&lt;=1,C40*F22*'数据-取费表'!B21/2,C40*(POWER((1+F22),'数据-取费表'!B21/2)-1)),4)</f>
        <v>5.0000000000000001E-4</v>
      </c>
      <c r="D44" s="230"/>
      <c r="E44" s="230"/>
      <c r="F44" s="231"/>
      <c r="G44" s="3358"/>
    </row>
    <row r="45" spans="1:7" s="206" customFormat="1" ht="13.5" customHeight="1">
      <c r="A45" s="247" t="s">
        <v>1547</v>
      </c>
      <c r="B45" s="236" t="s">
        <v>1513</v>
      </c>
      <c r="C45" s="237">
        <f ca="1">C46</f>
        <v>5</v>
      </c>
      <c r="D45" s="227">
        <f ca="1">C47</f>
        <v>2E-3</v>
      </c>
      <c r="E45" s="228" t="s">
        <v>1539</v>
      </c>
      <c r="F45" s="238">
        <f ca="1">F27</f>
        <v>0.2</v>
      </c>
      <c r="G45" s="239" t="s">
        <v>1548</v>
      </c>
    </row>
    <row r="46" spans="1:7" s="206" customFormat="1" ht="13.5" customHeight="1">
      <c r="A46" s="734" t="s">
        <v>346</v>
      </c>
      <c r="B46" s="240" t="s">
        <v>1549</v>
      </c>
      <c r="C46" s="241">
        <f ca="1">ROUND((C33+C39)*F27,0)</f>
        <v>5</v>
      </c>
      <c r="D46" s="255"/>
      <c r="E46" s="228"/>
      <c r="F46" s="238"/>
      <c r="G46" s="239"/>
    </row>
    <row r="47" spans="1:7" s="206" customFormat="1" ht="13.5" customHeight="1">
      <c r="A47" s="734" t="s">
        <v>347</v>
      </c>
      <c r="B47" s="240" t="s">
        <v>1550</v>
      </c>
      <c r="C47" s="230">
        <f ca="1">ROUND(C40*F27,4)</f>
        <v>2E-3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34</v>
      </c>
      <c r="D49" s="224"/>
      <c r="E49" s="224"/>
      <c r="F49" s="256"/>
      <c r="G49" s="226" t="s">
        <v>1554</v>
      </c>
    </row>
    <row r="50" spans="1:7" s="250" customFormat="1" ht="24">
      <c r="A50" s="247" t="s">
        <v>1555</v>
      </c>
      <c r="B50" s="202" t="s">
        <v>1556</v>
      </c>
      <c r="C50" s="224"/>
      <c r="D50" s="224"/>
      <c r="E50" s="224"/>
      <c r="F50" s="256">
        <f>IF('数据-取费表'!B24=0,'数据-取费表'!N16,1)</f>
        <v>0.75</v>
      </c>
      <c r="G50" s="239" t="s">
        <v>1557</v>
      </c>
    </row>
    <row r="51" spans="1:7" ht="16.5" customHeight="1">
      <c r="A51" s="247" t="s">
        <v>1558</v>
      </c>
      <c r="B51" s="202" t="s">
        <v>1559</v>
      </c>
      <c r="C51" s="224">
        <f ca="1">ROUND(C49*F50,0)</f>
        <v>26</v>
      </c>
      <c r="D51" s="224"/>
      <c r="E51" s="224"/>
      <c r="F51" s="256"/>
      <c r="G51" s="226" t="s">
        <v>1560</v>
      </c>
    </row>
    <row r="52" spans="1:7" s="200" customFormat="1" ht="16.5" thickBot="1">
      <c r="A52" s="257" t="s">
        <v>1561</v>
      </c>
      <c r="B52" s="258"/>
      <c r="C52" s="259">
        <f ca="1">C31+C51</f>
        <v>19551</v>
      </c>
      <c r="D52" s="258"/>
      <c r="E52" s="258"/>
      <c r="F52" s="258"/>
      <c r="G52" s="260"/>
    </row>
    <row r="55" spans="1:7" ht="15">
      <c r="B55" s="262" t="s">
        <v>1562</v>
      </c>
      <c r="C55" s="263"/>
    </row>
    <row r="56" spans="1:7">
      <c r="B56" s="265" t="s">
        <v>802</v>
      </c>
      <c r="C56" s="267">
        <f ca="1">1-C57</f>
        <v>0.999</v>
      </c>
    </row>
    <row r="57" spans="1:7">
      <c r="B57" s="265" t="s">
        <v>803</v>
      </c>
      <c r="C57" s="266">
        <f ca="1">ROUND(C51/C52,3)</f>
        <v>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5"/>
      <c r="F1" s="2565"/>
      <c r="G1" s="2447"/>
      <c r="H1" s="2565"/>
      <c r="I1" s="2565"/>
      <c r="J1" s="2565"/>
      <c r="K1" s="2566">
        <f>MATCH(C1,'数据-取费表'!A6:A16,0)+5</f>
        <v>7</v>
      </c>
    </row>
    <row r="2" spans="1:33" ht="18" customHeight="1">
      <c r="A2" s="193" t="s">
        <v>1462</v>
      </c>
      <c r="B2" s="196">
        <f ca="1">C32</f>
        <v>16401</v>
      </c>
      <c r="C2" s="268" t="s">
        <v>1595</v>
      </c>
      <c r="D2" s="268"/>
      <c r="E2" s="2565"/>
      <c r="F2" s="2565"/>
      <c r="G2" s="2565"/>
      <c r="H2" s="2565"/>
      <c r="I2" s="2565"/>
      <c r="J2" s="2565"/>
      <c r="K2" s="2565"/>
    </row>
    <row r="3" spans="1:33" ht="18" customHeight="1" thickBot="1">
      <c r="A3" s="195" t="s">
        <v>1464</v>
      </c>
      <c r="B3" s="196">
        <f ca="1">ROUND(B2*10000/IF(C1="",'数据-汇总表'!E3,INDIRECT("'数据-取费表'!K"&amp;$K$1)),0)</f>
        <v>2355450</v>
      </c>
      <c r="C3" s="268" t="s">
        <v>1596</v>
      </c>
      <c r="D3" s="268"/>
      <c r="E3" s="2565"/>
      <c r="F3" s="2565"/>
      <c r="G3" s="2565"/>
      <c r="H3" s="2565"/>
      <c r="I3" s="2565"/>
      <c r="J3" s="2565"/>
      <c r="K3" s="2565"/>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69.63</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69.63</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-13925</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1</v>
      </c>
      <c r="D20" s="796">
        <f ca="1">IF(C1="",'数据-汇总表'!E6,IF(INDIRECT("'数据-取费表'!c"&amp;$K$1)="住宅",INDIRECT("'数据-取费表'!s"&amp;$K$1),INDIRECT("'数据-取费表'!k"&amp;$K$1)+INDIRECT("'数据-取费表'!s"&amp;$K$1)))</f>
        <v>69.63</v>
      </c>
      <c r="E20" s="21">
        <f>'数据-取费表'!B28</f>
        <v>200</v>
      </c>
      <c r="F20" s="756"/>
      <c r="G20" s="12"/>
      <c r="H20" s="761"/>
      <c r="I20" s="761"/>
      <c r="J20" s="761"/>
      <c r="K20" s="762"/>
    </row>
    <row r="21" spans="1:33" s="755" customFormat="1" ht="13.5" customHeight="1">
      <c r="A21" s="744" t="s">
        <v>357</v>
      </c>
      <c r="B21" s="765" t="s">
        <v>1628</v>
      </c>
      <c r="C21" s="766">
        <f ca="1">C16+C17+C18</f>
        <v>-13925</v>
      </c>
      <c r="D21" s="767"/>
      <c r="E21" s="273"/>
      <c r="F21" s="273"/>
      <c r="G21" s="123" t="s">
        <v>1629</v>
      </c>
      <c r="H21" s="759"/>
      <c r="I21" s="759"/>
      <c r="J21" s="759"/>
      <c r="K21" s="760"/>
    </row>
    <row r="22" spans="1:33" s="755" customFormat="1" ht="13.5" customHeight="1">
      <c r="A22" s="744" t="s">
        <v>1601</v>
      </c>
      <c r="B22" s="765" t="s">
        <v>1630</v>
      </c>
      <c r="C22" s="766">
        <f ca="1">ROUND(C21*F22,0)</f>
        <v>-139</v>
      </c>
      <c r="D22" s="273"/>
      <c r="E22" s="273"/>
      <c r="F22" s="768">
        <f>'数据-取费表'!B37</f>
        <v>0.01</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0.01</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4.7500000000000001E-2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-2813</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-2813</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16401</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C1" zoomScale="80" zoomScaleNormal="70" zoomScaleSheetLayoutView="8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61" t="s">
        <v>694</v>
      </c>
      <c r="C6" s="1011">
        <f ca="1">ROUND(F6*F8*F7*(1-F9)/10000,0)</f>
        <v>0</v>
      </c>
      <c r="D6" s="147" t="s">
        <v>2109</v>
      </c>
      <c r="E6" s="294" t="s">
        <v>696</v>
      </c>
      <c r="F6" s="295">
        <f ca="1">INDIRECT("'数据-取费表'!u"&amp;$G$1)</f>
        <v>0</v>
      </c>
      <c r="G6" s="1292"/>
      <c r="H6" s="1006" t="s">
        <v>398</v>
      </c>
      <c r="I6" s="3361" t="s">
        <v>694</v>
      </c>
      <c r="J6" s="293">
        <f ca="1">ROUND(M6*M8*M7*(1-M9)/10000,0)</f>
        <v>0</v>
      </c>
      <c r="K6" s="147" t="s">
        <v>2108</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0</v>
      </c>
      <c r="G7" s="1292"/>
      <c r="H7" s="296"/>
      <c r="I7" s="3362"/>
      <c r="J7" s="298"/>
      <c r="K7" s="299"/>
      <c r="L7" s="294" t="s">
        <v>697</v>
      </c>
      <c r="M7" s="295">
        <f ca="1">F7</f>
        <v>0</v>
      </c>
    </row>
    <row r="8" spans="1:37" ht="18" customHeight="1">
      <c r="A8" s="296"/>
      <c r="B8" s="3362"/>
      <c r="C8" s="298"/>
      <c r="D8" s="299"/>
      <c r="E8" s="294" t="s">
        <v>698</v>
      </c>
      <c r="F8" s="295">
        <f ca="1">INDIRECT("'数据-取费表'!ai"&amp;$G$1)</f>
        <v>0</v>
      </c>
      <c r="G8" s="1292"/>
      <c r="H8" s="296"/>
      <c r="I8" s="3362"/>
      <c r="J8" s="298"/>
      <c r="K8" s="299"/>
      <c r="L8" s="294" t="s">
        <v>698</v>
      </c>
      <c r="M8" s="295">
        <f ca="1">INDIRECT("'数据-取费表'!ai"&amp;$G$1)</f>
        <v>0</v>
      </c>
    </row>
    <row r="9" spans="1:37" ht="18" customHeight="1">
      <c r="A9" s="296"/>
      <c r="B9" s="3363"/>
      <c r="C9" s="298"/>
      <c r="D9" s="299"/>
      <c r="E9" s="294" t="s">
        <v>699</v>
      </c>
      <c r="F9" s="304">
        <f ca="1">INDIRECT("'数据-取费表'!w"&amp;$G$1)</f>
        <v>0</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39">
        <f ca="1">ROUND(IF(AND(项目基本情况!B11="自然人",项目基本情况!B10="北京市"),J6*M17/(1+'数据-取费表'!C42),J18+J19+J20),2)</f>
        <v>0</v>
      </c>
      <c r="K17" s="1257" t="s">
        <v>720</v>
      </c>
      <c r="L17" s="1256" t="s">
        <v>721</v>
      </c>
      <c r="M17" s="2138">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3338</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0.01</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0.01</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4.7500000000000001E-2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9"/>
      <c r="I30" s="1305"/>
      <c r="J30" s="1306"/>
      <c r="K30" s="121"/>
      <c r="L30" s="2470"/>
      <c r="M30" s="2471"/>
    </row>
    <row r="31" spans="1:37" ht="18" customHeight="1">
      <c r="A31" s="928" t="s">
        <v>398</v>
      </c>
      <c r="B31" s="294" t="s">
        <v>719</v>
      </c>
      <c r="C31" s="2139">
        <f ca="1">ROUND(IF(AND(项目基本情况!B11="自然人",项目基本情况!B10="北京市"),C6*F31/(1+'数据-取费表'!C42),C32+C33+C34),2)</f>
        <v>0</v>
      </c>
      <c r="D31" s="1257" t="s">
        <v>720</v>
      </c>
      <c r="E31" s="1256" t="s">
        <v>770</v>
      </c>
      <c r="F31" s="2138">
        <f ca="1">IF(项目基本情况!B11="企业","——",IF(M47="住宅",IF(F6*F7*F8/12/(1+'数据-取费表'!F30)&gt;100000,4%,2.5%),IF(F6*F7*F8/12/(1+'数据-取费表'!F30)&gt;100000,12%,7%)))</f>
        <v>7.0000000000000007E-2</v>
      </c>
      <c r="G31" s="1292"/>
      <c r="H31" s="2567" t="s">
        <v>2310</v>
      </c>
      <c r="I31" s="1305"/>
      <c r="J31" s="1306"/>
      <c r="K31" s="121"/>
      <c r="L31" s="2470"/>
      <c r="M31" s="2471"/>
    </row>
    <row r="32" spans="1:37" ht="18" customHeight="1">
      <c r="A32" s="928" t="s">
        <v>397</v>
      </c>
      <c r="B32" s="294" t="s">
        <v>723</v>
      </c>
      <c r="C32" s="21" t="str">
        <f>IF(项目基本情况!B11="自然人","——",ROUND(C6*F32/(1+'数据-取费表'!C42),2))</f>
        <v>——</v>
      </c>
      <c r="D32" s="1256" t="s">
        <v>724</v>
      </c>
      <c r="E32" s="294" t="s">
        <v>712</v>
      </c>
      <c r="F32" s="322">
        <f>'数据-取费表'!B41</f>
        <v>5.6000000000000001E-2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3338</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IF(项目基本情况!B11="自然人","——",ROUND(F34*F35/10000,2))</f>
        <v>——</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0</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f ca="1">ROUND(C13*F37,2)</f>
        <v>0</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f ca="1">C5-C30</f>
        <v>0</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0</v>
      </c>
      <c r="K53" s="3359" t="s">
        <v>837</v>
      </c>
      <c r="L53" s="3360"/>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0</v>
      </c>
      <c r="D59" s="909" t="s">
        <v>720</v>
      </c>
      <c r="E59" s="910" t="s">
        <v>721</v>
      </c>
      <c r="F59" s="2138">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t="str">
        <f ca="1">IF(项目基本情况!B11="自然人","——",IF(D61="按租金收入计税",ROUND(C49*F61/(1+'数据-取费表'!C42),2),IF(D61="按房产原值计税",ROUND(C57*F61*0.7,2),INDIRECT("'数据-取费表'!Aj"&amp;$G$1))))</f>
        <v>——</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t="str">
        <f>IF(项目基本情况!B11="自然人","——",ROUND(F62*F63/10000,2))</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I40" sqref="I40"/>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3414</v>
      </c>
      <c r="D1" s="1271" t="s">
        <v>43</v>
      </c>
      <c r="E1" s="1272" t="s">
        <v>678</v>
      </c>
      <c r="F1" s="999">
        <f ca="1">J53</f>
        <v>23</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1">
        <f ca="1">ROUND(D2/10000,4)</f>
        <v>25.989899999999999</v>
      </c>
      <c r="C2" s="1289" t="s">
        <v>879</v>
      </c>
      <c r="D2" s="1375">
        <f ca="1">C40+J29+L46</f>
        <v>259899</v>
      </c>
      <c r="E2" s="1295" t="s">
        <v>880</v>
      </c>
      <c r="F2" s="1296"/>
      <c r="G2" s="2477"/>
      <c r="H2" s="2467"/>
      <c r="I2" s="2467"/>
      <c r="J2" s="2467"/>
      <c r="K2" s="2468"/>
      <c r="L2" s="2467"/>
      <c r="M2" s="2467"/>
    </row>
    <row r="3" spans="1:37" ht="18" customHeight="1" thickBot="1">
      <c r="A3" s="1297" t="s">
        <v>881</v>
      </c>
      <c r="B3" s="1298">
        <f ca="1">IF(ISERROR(D2/F43),0,ROUND(D2/F43,0))</f>
        <v>3733</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24638</v>
      </c>
      <c r="D5" s="1273" t="s">
        <v>889</v>
      </c>
      <c r="E5" s="1008"/>
      <c r="F5" s="1009"/>
      <c r="G5" s="1292"/>
      <c r="H5" s="291">
        <v>1</v>
      </c>
      <c r="I5" s="292" t="s">
        <v>888</v>
      </c>
      <c r="J5" s="1007">
        <f ca="1">J6+J10+J12</f>
        <v>0</v>
      </c>
      <c r="K5" s="1273" t="s">
        <v>889</v>
      </c>
      <c r="L5" s="1008"/>
      <c r="M5" s="1009"/>
    </row>
    <row r="6" spans="1:37" ht="18" customHeight="1">
      <c r="A6" s="1006" t="s">
        <v>398</v>
      </c>
      <c r="B6" s="3361" t="s">
        <v>694</v>
      </c>
      <c r="C6" s="1011">
        <f ca="1">ROUND(F6*F8*F7*(1-F9),0)</f>
        <v>24638</v>
      </c>
      <c r="D6" s="147" t="s">
        <v>2106</v>
      </c>
      <c r="E6" s="294" t="s">
        <v>696</v>
      </c>
      <c r="F6" s="295">
        <f ca="1">INDIRECT("'数据-取费表'!u"&amp;$G$1)</f>
        <v>450</v>
      </c>
      <c r="G6" s="1292"/>
      <c r="H6" s="1006" t="s">
        <v>398</v>
      </c>
      <c r="I6" s="3361" t="s">
        <v>694</v>
      </c>
      <c r="J6" s="293">
        <f ca="1">ROUND(M6*M8*M7*(1-M9),0)</f>
        <v>0</v>
      </c>
      <c r="K6" s="1284" t="s">
        <v>2107</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1</v>
      </c>
      <c r="G7" s="1292"/>
      <c r="H7" s="296"/>
      <c r="I7" s="3362"/>
      <c r="J7" s="298"/>
      <c r="K7" s="299"/>
      <c r="L7" s="294" t="s">
        <v>697</v>
      </c>
      <c r="M7" s="295">
        <f ca="1">F7</f>
        <v>1</v>
      </c>
    </row>
    <row r="8" spans="1:37" ht="18" customHeight="1">
      <c r="A8" s="296"/>
      <c r="B8" s="3362"/>
      <c r="C8" s="298"/>
      <c r="D8" s="299"/>
      <c r="E8" s="294" t="s">
        <v>698</v>
      </c>
      <c r="F8" s="295">
        <f ca="1">INDIRECT("'数据-取费表'!ai"&amp;$G$1)</f>
        <v>365</v>
      </c>
      <c r="G8" s="1292"/>
      <c r="H8" s="296"/>
      <c r="I8" s="3362"/>
      <c r="J8" s="298"/>
      <c r="K8" s="299"/>
      <c r="L8" s="294" t="s">
        <v>698</v>
      </c>
      <c r="M8" s="295">
        <f ca="1">INDIRECT("'数据-取费表'!ai"&amp;$G$1)</f>
        <v>365</v>
      </c>
    </row>
    <row r="9" spans="1:37" ht="18" customHeight="1">
      <c r="A9" s="296"/>
      <c r="B9" s="3363"/>
      <c r="C9" s="298"/>
      <c r="D9" s="299"/>
      <c r="E9" s="294" t="s">
        <v>699</v>
      </c>
      <c r="F9" s="304">
        <f ca="1">INDIRECT("'数据-取费表'!w"&amp;$G$1)</f>
        <v>0.85</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t="s">
        <v>3419</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271698</v>
      </c>
      <c r="D13" s="1018" t="s">
        <v>705</v>
      </c>
      <c r="E13" s="1018" t="s">
        <v>706</v>
      </c>
      <c r="F13" s="1019">
        <f ca="1">INDIRECT("'数据-取费表'!y"&amp;$G$1)</f>
        <v>0.75</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243705</v>
      </c>
      <c r="D14" s="1257" t="s">
        <v>708</v>
      </c>
      <c r="E14" s="1255"/>
      <c r="F14" s="311"/>
      <c r="G14" s="1292"/>
      <c r="H14" s="928" t="s">
        <v>398</v>
      </c>
      <c r="I14" s="294" t="s">
        <v>709</v>
      </c>
      <c r="J14" s="21">
        <f ca="1">C29</f>
        <v>362264</v>
      </c>
      <c r="K14" s="12"/>
      <c r="L14" s="759"/>
      <c r="M14" s="760"/>
    </row>
    <row r="15" spans="1:37" s="1304" customFormat="1" ht="18" customHeight="1" thickBot="1">
      <c r="A15" s="928" t="s">
        <v>399</v>
      </c>
      <c r="B15" s="294" t="s">
        <v>710</v>
      </c>
      <c r="C15" s="21">
        <f ca="1">ROUND(C14*F15,0)</f>
        <v>7311</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5434</v>
      </c>
      <c r="K16" s="1024" t="s">
        <v>715</v>
      </c>
      <c r="L16" s="1025"/>
      <c r="M16" s="1009"/>
    </row>
    <row r="17" spans="1:37" s="1304" customFormat="1" ht="18" customHeight="1">
      <c r="A17" s="928" t="s">
        <v>681</v>
      </c>
      <c r="B17" s="294" t="s">
        <v>716</v>
      </c>
      <c r="C17" s="21">
        <f ca="1">ROUND(F17*(F43+INDIRECT("'数据-取费表'!S"&amp;$G$1)),0)</f>
        <v>13926</v>
      </c>
      <c r="D17" s="294" t="s">
        <v>717</v>
      </c>
      <c r="E17" s="294" t="s">
        <v>718</v>
      </c>
      <c r="F17" s="23">
        <f>'数据-取费表'!B35</f>
        <v>200</v>
      </c>
      <c r="G17" s="1303"/>
      <c r="H17" s="928" t="s">
        <v>398</v>
      </c>
      <c r="I17" s="294" t="s">
        <v>719</v>
      </c>
      <c r="J17" s="2139">
        <f ca="1">ROUND(IF(AND(项目基本情况!B11="自然人",项目基本情况!B10="北京市"),J6*M17/(1+'数据-取费表'!C42),J18+J19+J20),0)</f>
        <v>0</v>
      </c>
      <c r="K17" s="1257" t="s">
        <v>720</v>
      </c>
      <c r="L17" s="1256" t="s">
        <v>721</v>
      </c>
      <c r="M17" s="2138">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3656</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268598</v>
      </c>
      <c r="D19" s="123" t="s">
        <v>726</v>
      </c>
      <c r="E19" s="1269"/>
      <c r="F19" s="23"/>
      <c r="G19" s="1292"/>
      <c r="H19" s="928" t="s">
        <v>399</v>
      </c>
      <c r="I19" s="294" t="s">
        <v>727</v>
      </c>
      <c r="J19" s="21">
        <f ca="1">IF(K19="按租金收入计税",ROUND(J6*M19/(1+'数据-取费表'!C42),0),ROUND(C29*M19*0.7,0))</f>
        <v>0</v>
      </c>
      <c r="K19" s="1278" t="s">
        <v>3338</v>
      </c>
      <c r="L19" s="294" t="s">
        <v>712</v>
      </c>
      <c r="M19" s="314">
        <f>IF(K19="按租金收入计税",'数据-取费表'!B51,'数据-取费表'!B50)</f>
        <v>0.12</v>
      </c>
    </row>
    <row r="20" spans="1:37" s="1304" customFormat="1" ht="18" customHeight="1">
      <c r="A20" s="928" t="s">
        <v>402</v>
      </c>
      <c r="B20" s="294" t="s">
        <v>728</v>
      </c>
      <c r="C20" s="21">
        <f ca="1">ROUND(C19*F20,0)</f>
        <v>2686</v>
      </c>
      <c r="D20" s="315" t="s">
        <v>729</v>
      </c>
      <c r="E20" s="294" t="s">
        <v>712</v>
      </c>
      <c r="F20" s="314">
        <f>'数据-取费表'!B37</f>
        <v>0.01</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0.01</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5434</v>
      </c>
      <c r="K22" s="1256" t="s">
        <v>739</v>
      </c>
      <c r="L22" s="294" t="s">
        <v>712</v>
      </c>
      <c r="M22" s="320">
        <f ca="1">INDIRECT("'数据-取费表'!Ak"&amp;$G$1)</f>
        <v>1.4999999999999999E-2</v>
      </c>
    </row>
    <row r="23" spans="1:37" s="1304" customFormat="1" ht="18" customHeight="1">
      <c r="A23" s="928" t="s">
        <v>397</v>
      </c>
      <c r="B23" s="294" t="s">
        <v>740</v>
      </c>
      <c r="C23" s="21">
        <f ca="1">IF('数据-取费表'!B22&lt;=1,ROUND(C19*F24*F23/2,0)+ROUND(C20*F24*F23/2,0),ROUND(C19*(POWER((1+F24),F23/2)-1),0)+ROUND(C20*(POWER((1+F24),F23/2)-1),0))</f>
        <v>12886</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1.5E-3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4.7500000000000001E-2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-5434</v>
      </c>
      <c r="K25" s="1032" t="s">
        <v>753</v>
      </c>
      <c r="L25" s="1033"/>
      <c r="M25" s="1034"/>
    </row>
    <row r="26" spans="1:37" ht="18" customHeight="1">
      <c r="A26" s="928" t="s">
        <v>397</v>
      </c>
      <c r="B26" s="294" t="s">
        <v>754</v>
      </c>
      <c r="C26" s="21">
        <f ca="1">ROUND((C19+C20)*F26,0)</f>
        <v>54257</v>
      </c>
      <c r="D26" s="315" t="s">
        <v>755</v>
      </c>
      <c r="E26" s="305" t="s">
        <v>756</v>
      </c>
      <c r="F26" s="304">
        <f ca="1">INDIRECT("'数据-取费表'!q"&amp;$G$1)</f>
        <v>0.2</v>
      </c>
      <c r="G26" s="1292"/>
      <c r="H26" s="291" t="s">
        <v>395</v>
      </c>
      <c r="I26" s="292" t="s">
        <v>757</v>
      </c>
      <c r="J26" s="293">
        <f ca="1">IF(J5&lt;&gt;0,ROUND(J25*(1-((1+M28)/(1+M26))^M27)/(M26-M28),0),0)</f>
        <v>0</v>
      </c>
      <c r="K26" s="316" t="s">
        <v>758</v>
      </c>
      <c r="L26" s="294" t="s">
        <v>759</v>
      </c>
      <c r="M26" s="304">
        <f ca="1">INDIRECT("'数据-取费表'!I"&amp;$G$1)</f>
        <v>0.06</v>
      </c>
    </row>
    <row r="27" spans="1:37" ht="18" customHeight="1">
      <c r="A27" s="928" t="s">
        <v>399</v>
      </c>
      <c r="B27" s="294" t="s">
        <v>760</v>
      </c>
      <c r="C27" s="21">
        <f ca="1">ROUND(F21*F26,4)</f>
        <v>2E-3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362264</v>
      </c>
      <c r="D29" s="1029"/>
      <c r="E29" s="1027"/>
      <c r="F29" s="1030"/>
      <c r="G29" s="1303"/>
      <c r="H29" s="325" t="s">
        <v>396</v>
      </c>
      <c r="I29" s="326" t="s">
        <v>768</v>
      </c>
      <c r="J29" s="327">
        <f ca="1">ROUND(J26/(1+F40)^F41,0)</f>
        <v>0</v>
      </c>
      <c r="K29" s="328" t="s">
        <v>769</v>
      </c>
      <c r="L29" s="329"/>
      <c r="M29" s="330">
        <f ca="1">INDIRECT("'数据-取费表'!k"&amp;$G$1)</f>
        <v>69.63</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7731</v>
      </c>
      <c r="D30" s="1024" t="s">
        <v>715</v>
      </c>
      <c r="E30" s="1025"/>
      <c r="F30" s="1009"/>
      <c r="G30" s="1292"/>
      <c r="H30" s="2469"/>
      <c r="I30" s="1305"/>
      <c r="J30" s="1306"/>
      <c r="K30" s="121"/>
      <c r="L30" s="2470"/>
      <c r="M30" s="2471"/>
    </row>
    <row r="31" spans="1:37" ht="18" customHeight="1">
      <c r="A31" s="928" t="s">
        <v>398</v>
      </c>
      <c r="B31" s="294" t="s">
        <v>719</v>
      </c>
      <c r="C31" s="2139">
        <f ca="1">ROUND(IF(AND(项目基本情况!B11="自然人",项目基本情况!B10="北京市"),C6*F31/(1+'数据-取费表'!C42),C32+C33+C34),0)</f>
        <v>1643</v>
      </c>
      <c r="D31" s="1257" t="s">
        <v>720</v>
      </c>
      <c r="E31" s="1256" t="s">
        <v>770</v>
      </c>
      <c r="F31" s="2138">
        <f ca="1">IF(项目基本情况!B11="企业","——",IF(M47="住宅",IF(F6*F7*F8/12/(1+'数据-取费表'!F30)&gt;100000,4%,2.5%),IF(F6*F7*F8/12/(1+'数据-取费表'!F30)&gt;100000,12%,7%)))</f>
        <v>7.0000000000000007E-2</v>
      </c>
      <c r="G31" s="1292"/>
      <c r="H31" s="2567" t="s">
        <v>2310</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5.6000000000000001E-2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3338</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5434</v>
      </c>
      <c r="D36" s="1256" t="s">
        <v>771</v>
      </c>
      <c r="E36" s="294" t="s">
        <v>712</v>
      </c>
      <c r="F36" s="320">
        <f ca="1">INDIRECT("'数据-取费表'!Ak"&amp;$G$1)</f>
        <v>1.4999999999999999E-2</v>
      </c>
      <c r="G36" s="1292"/>
      <c r="H36" s="2472"/>
      <c r="I36" s="1305"/>
      <c r="J36" s="1306"/>
      <c r="K36" s="2330"/>
      <c r="L36" s="2472"/>
      <c r="M36" s="2472"/>
    </row>
    <row r="37" spans="1:18" ht="18" customHeight="1">
      <c r="A37" s="928" t="s">
        <v>437</v>
      </c>
      <c r="B37" s="294" t="s">
        <v>742</v>
      </c>
      <c r="C37" s="21">
        <f ca="1">ROUND(C13*F37,0)</f>
        <v>408</v>
      </c>
      <c r="D37" s="1256" t="s">
        <v>743</v>
      </c>
      <c r="E37" s="294" t="s">
        <v>744</v>
      </c>
      <c r="F37" s="321">
        <f ca="1">INDIRECT("'数据-取费表'!Al"&amp;$G$1)</f>
        <v>1.5E-3</v>
      </c>
      <c r="G37" s="1292"/>
      <c r="H37" s="2472"/>
      <c r="I37" s="1305"/>
      <c r="J37" s="1306"/>
      <c r="K37" s="2330"/>
      <c r="L37" s="2472"/>
      <c r="M37" s="2472"/>
    </row>
    <row r="38" spans="1:18" ht="18" customHeight="1" thickBot="1">
      <c r="A38" s="1026" t="s">
        <v>684</v>
      </c>
      <c r="B38" s="1027" t="s">
        <v>728</v>
      </c>
      <c r="C38" s="1028">
        <f ca="1">ROUND(C5*F38,0)</f>
        <v>246</v>
      </c>
      <c r="D38" s="1029" t="s">
        <v>748</v>
      </c>
      <c r="E38" s="1027" t="s">
        <v>744</v>
      </c>
      <c r="F38" s="1023">
        <f ca="1">INDIRECT("'数据-取费表'!Am"&amp;$G$1)</f>
        <v>0.01</v>
      </c>
      <c r="G38" s="1292"/>
      <c r="H38" s="2472"/>
      <c r="I38" s="1305"/>
      <c r="J38" s="1306"/>
      <c r="K38" s="2470"/>
      <c r="L38" s="2472"/>
      <c r="M38" s="2472"/>
    </row>
    <row r="39" spans="1:18" ht="24.6" customHeight="1" thickTop="1">
      <c r="A39" s="1016" t="s">
        <v>394</v>
      </c>
      <c r="B39" s="1031" t="s">
        <v>772</v>
      </c>
      <c r="C39" s="302">
        <f ca="1">C5-C30</f>
        <v>16907</v>
      </c>
      <c r="D39" s="1032" t="s">
        <v>773</v>
      </c>
      <c r="E39" s="1033"/>
      <c r="F39" s="1034"/>
      <c r="G39" s="1292"/>
      <c r="H39" s="2472"/>
      <c r="I39" s="1305"/>
      <c r="J39" s="1306"/>
      <c r="K39" s="2470"/>
      <c r="L39" s="2472"/>
      <c r="M39" s="2472"/>
    </row>
    <row r="40" spans="1:18" ht="18" customHeight="1">
      <c r="A40" s="291" t="s">
        <v>395</v>
      </c>
      <c r="B40" s="292" t="s">
        <v>774</v>
      </c>
      <c r="C40" s="293">
        <f ca="1">ROUND(C39*(1-((1+F42)/(1+F40))^F41)/(F40-F42),0)</f>
        <v>259899</v>
      </c>
      <c r="D40" s="316" t="s">
        <v>758</v>
      </c>
      <c r="E40" s="294" t="s">
        <v>759</v>
      </c>
      <c r="F40" s="304">
        <f ca="1">INDIRECT("'数据-取费表'!I"&amp;$G$1)</f>
        <v>0.06</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23</v>
      </c>
      <c r="G41" s="1292"/>
      <c r="H41" s="121"/>
      <c r="I41" s="1305"/>
      <c r="J41" s="1306"/>
      <c r="K41" s="2330"/>
      <c r="L41" s="121"/>
      <c r="M41" s="121"/>
    </row>
    <row r="42" spans="1:18" ht="18" customHeight="1">
      <c r="A42" s="300"/>
      <c r="B42" s="301"/>
      <c r="C42" s="302"/>
      <c r="D42" s="319"/>
      <c r="E42" s="294" t="s">
        <v>766</v>
      </c>
      <c r="F42" s="304">
        <f ca="1">INDIRECT("'数据-取费表'!v"&amp;$G$1)</f>
        <v>2.5000000000000001E-2</v>
      </c>
      <c r="G42" s="1292"/>
      <c r="H42" s="121"/>
      <c r="I42" s="1305"/>
      <c r="J42" s="1306"/>
      <c r="K42" s="2330"/>
      <c r="L42" s="121"/>
      <c r="M42" s="121"/>
    </row>
    <row r="43" spans="1:18" ht="18" customHeight="1" thickBot="1">
      <c r="A43" s="325" t="s">
        <v>396</v>
      </c>
      <c r="B43" s="326" t="s">
        <v>776</v>
      </c>
      <c r="C43" s="327">
        <f ca="1">ROUND(C40/F43,0)</f>
        <v>3733</v>
      </c>
      <c r="D43" s="328" t="s">
        <v>777</v>
      </c>
      <c r="E43" s="329" t="s">
        <v>778</v>
      </c>
      <c r="F43" s="330">
        <f ca="1">INDIRECT("'数据-取费表'!k"&amp;$G$1)</f>
        <v>69.63</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7" t="s">
        <v>3354</v>
      </c>
      <c r="B45" s="1307"/>
      <c r="C45" s="1376">
        <f ca="1">ROUND((C68-C40)/10000,4)</f>
        <v>-33.177500000000002</v>
      </c>
      <c r="D45" s="3128" t="s">
        <v>3355</v>
      </c>
      <c r="E45" s="1307"/>
      <c r="F45" s="1307"/>
      <c r="O45" s="1310" t="s">
        <v>808</v>
      </c>
      <c r="P45" s="1366"/>
      <c r="Q45" s="1366"/>
      <c r="R45" s="1366"/>
    </row>
    <row r="46" spans="1:18" s="1292" customFormat="1" ht="13.5" thickBot="1">
      <c r="A46" s="1311" t="s">
        <v>809</v>
      </c>
      <c r="C46" s="1312">
        <f ca="1">ROUND(C45,0)</f>
        <v>-33</v>
      </c>
      <c r="D46" s="1313" t="str">
        <f>C2</f>
        <v>万元</v>
      </c>
      <c r="I46" s="1314" t="s">
        <v>810</v>
      </c>
      <c r="J46" s="1315"/>
      <c r="K46" s="1316"/>
      <c r="L46" s="1317" t="str">
        <f ca="1">IF(M47="住宅",0,IF(L48&gt;J51,L60,J60))</f>
        <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t="s">
        <v>3420</v>
      </c>
      <c r="K47" s="1323" t="s">
        <v>816</v>
      </c>
      <c r="L47" s="1324">
        <f ca="1">INDIRECT("'数据-取费表'!d"&amp;$G$1)</f>
        <v>40</v>
      </c>
      <c r="M47" s="1288" t="str">
        <f>IF(ISNUMBER(FIND("住宅",C1)),"住宅","非住宅")</f>
        <v>非住宅</v>
      </c>
      <c r="O47" s="1325" t="s">
        <v>403</v>
      </c>
      <c r="P47" s="1326" t="s">
        <v>817</v>
      </c>
      <c r="Q47" s="1327">
        <f ca="1">C40+J29</f>
        <v>259899</v>
      </c>
      <c r="R47" s="1327" t="s">
        <v>818</v>
      </c>
    </row>
    <row r="48" spans="1:18" s="1292" customFormat="1" ht="28.5" thickBot="1">
      <c r="A48" s="1047" t="s">
        <v>438</v>
      </c>
      <c r="B48" s="292" t="s">
        <v>692</v>
      </c>
      <c r="C48" s="1268">
        <f ca="1">C49+C53+C55</f>
        <v>0</v>
      </c>
      <c r="D48" s="1049"/>
      <c r="E48" s="1050"/>
      <c r="F48" s="908"/>
      <c r="G48" s="681"/>
      <c r="H48" s="682"/>
      <c r="I48" s="1328" t="s">
        <v>819</v>
      </c>
      <c r="J48" s="1329" t="s">
        <v>3421</v>
      </c>
      <c r="K48" s="1330" t="s">
        <v>820</v>
      </c>
      <c r="L48" s="1331">
        <f ca="1">INDIRECT("'数据-取费表'!f"&amp;$G$1)</f>
        <v>23</v>
      </c>
      <c r="O48" s="1325" t="s">
        <v>404</v>
      </c>
      <c r="P48" s="1326" t="s">
        <v>821</v>
      </c>
      <c r="Q48" s="1327" t="str">
        <f ca="1">J60</f>
        <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v>2008</v>
      </c>
      <c r="K49" s="1330" t="s">
        <v>824</v>
      </c>
      <c r="L49" s="1333"/>
      <c r="O49" s="1334" t="s">
        <v>405</v>
      </c>
      <c r="P49" s="1326" t="s">
        <v>825</v>
      </c>
      <c r="Q49" s="1327">
        <f ca="1">C29</f>
        <v>362264</v>
      </c>
      <c r="R49" s="1327" t="s">
        <v>818</v>
      </c>
    </row>
    <row r="50" spans="1:18" s="1292" customFormat="1" ht="13.5" thickBot="1">
      <c r="A50" s="922"/>
      <c r="B50" s="925"/>
      <c r="C50" s="926"/>
      <c r="D50" s="899"/>
      <c r="E50" s="993" t="s">
        <v>697</v>
      </c>
      <c r="F50" s="994">
        <f ca="1">F7</f>
        <v>1</v>
      </c>
      <c r="H50" s="682"/>
      <c r="I50" s="1328" t="s">
        <v>826</v>
      </c>
      <c r="J50" s="1335">
        <f>SUMPRODUCT((I63:I65=J47)*(J62:L62=J48)*(J63:L65))</f>
        <v>60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365</v>
      </c>
      <c r="I51" s="1338" t="s">
        <v>829</v>
      </c>
      <c r="J51" s="1331">
        <f>IF(J49="",J50,J49+J50-YEAR('数据-取费表'!B2))</f>
        <v>45</v>
      </c>
      <c r="K51" s="1339" t="s">
        <v>830</v>
      </c>
      <c r="L51" s="1340">
        <f ca="1">ROUND(-PV(INDIRECT("'数据-取费表'!h"&amp;$G$1),J51,(C39-C13*C76),0),0)</f>
        <v>-12467</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23</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23</v>
      </c>
      <c r="K53" s="3359" t="s">
        <v>837</v>
      </c>
      <c r="L53" s="3360"/>
      <c r="O53" s="1325" t="s">
        <v>409</v>
      </c>
      <c r="P53" s="1326" t="s">
        <v>838</v>
      </c>
      <c r="Q53" s="1327">
        <f ca="1">Q47+Q48</f>
        <v>259899</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271698</v>
      </c>
      <c r="D56" s="1352"/>
      <c r="E56" s="1353"/>
      <c r="F56" s="1345"/>
      <c r="I56" s="1354" t="s">
        <v>842</v>
      </c>
      <c r="J56" s="1355" t="s">
        <v>3411</v>
      </c>
      <c r="K56" s="1328" t="s">
        <v>843</v>
      </c>
      <c r="L56" s="1331" t="str">
        <f ca="1">IF(L48&lt;J51,"——",L48-J51)</f>
        <v>——</v>
      </c>
      <c r="O56" s="1325" t="s">
        <v>403</v>
      </c>
      <c r="P56" s="1326" t="s">
        <v>817</v>
      </c>
      <c r="Q56" s="1327">
        <f ca="1">C40+J29</f>
        <v>259899</v>
      </c>
      <c r="R56" s="1327" t="s">
        <v>818</v>
      </c>
    </row>
    <row r="57" spans="1:18" s="1292" customFormat="1" ht="24.75" thickBot="1">
      <c r="A57" s="1356"/>
      <c r="B57" s="896" t="s">
        <v>767</v>
      </c>
      <c r="C57" s="230">
        <f ca="1">C29</f>
        <v>362264</v>
      </c>
      <c r="D57" s="1357"/>
      <c r="E57" s="1358"/>
      <c r="F57" s="1359"/>
      <c r="I57" s="1360" t="s">
        <v>844</v>
      </c>
      <c r="J57" s="1361" t="str">
        <f ca="1">IF(OR(M47="住宅",J51&lt;L48,J56="是"),"——",J51-L48)</f>
        <v>——</v>
      </c>
      <c r="K57" s="1328" t="s">
        <v>892</v>
      </c>
      <c r="L57" s="1331" t="str">
        <f ca="1">IF(L48&lt;J51,"——",IF(L55="比较法",L49,IF(L55="基准地价",L50,L51)))</f>
        <v>——</v>
      </c>
      <c r="O57" s="1325" t="s">
        <v>404</v>
      </c>
      <c r="P57" s="1326" t="s">
        <v>893</v>
      </c>
      <c r="Q57" s="1327">
        <f ca="1">L60</f>
        <v>0</v>
      </c>
      <c r="R57" s="1327" t="s">
        <v>894</v>
      </c>
    </row>
    <row r="58" spans="1:18" s="1292" customFormat="1" ht="24.75" thickBot="1">
      <c r="A58" s="307" t="s">
        <v>393</v>
      </c>
      <c r="B58" s="904" t="s">
        <v>714</v>
      </c>
      <c r="C58" s="308">
        <f ca="1">ROUND(C59+C64+C65+C66,0)</f>
        <v>5842</v>
      </c>
      <c r="D58" s="906" t="s">
        <v>715</v>
      </c>
      <c r="E58" s="907"/>
      <c r="F58" s="908"/>
      <c r="I58" s="1360" t="s">
        <v>848</v>
      </c>
      <c r="J58" s="1362" t="e">
        <f ca="1">IF(J55&lt;0.4,0.4,J55)</f>
        <v>#VALUE!</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0</v>
      </c>
      <c r="D59" s="909" t="s">
        <v>720</v>
      </c>
      <c r="E59" s="910" t="s">
        <v>721</v>
      </c>
      <c r="F59" s="2138">
        <f ca="1">IF(项目基本情况!B11="企业","——",IF('数据-取费表'!B10="住宅",IF(F49*F50*F51/12/(1+'数据-取费表'!F30)&gt;100000,4%,2.5%),IF(F49*F50*F51/12/(1+'数据-取费表'!F30)&gt;100000,12%,7%)))</f>
        <v>7.0000000000000007E-2</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t="str">
        <f ca="1">IF(项目基本情况!B11="自然人","——",IF(D61="按租金收入计税",ROUND(C49*F61/(1+'数据-取费表'!C42),0),IF(D61="按房产原值计税",ROUND(C57*F61*0.7,0),INDIRECT("'数据-取费表'!Aj"&amp;$G$1))))</f>
        <v>——</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t="str">
        <f>IF(项目基本情况!B11="自然人","——",ROUND(F62*F63,0))</f>
        <v>——</v>
      </c>
      <c r="D62" s="911" t="s">
        <v>786</v>
      </c>
      <c r="E62" s="896" t="s">
        <v>787</v>
      </c>
      <c r="F62" s="317">
        <f t="shared" si="0"/>
        <v>0</v>
      </c>
      <c r="I62" s="1367" t="s">
        <v>858</v>
      </c>
      <c r="J62" s="610" t="s">
        <v>859</v>
      </c>
      <c r="K62" s="610" t="s">
        <v>860</v>
      </c>
      <c r="L62" s="610" t="s">
        <v>861</v>
      </c>
      <c r="M62" s="1368" t="s">
        <v>862</v>
      </c>
      <c r="O62" s="1325" t="s">
        <v>409</v>
      </c>
      <c r="P62" s="1326" t="s">
        <v>863</v>
      </c>
      <c r="Q62" s="1327">
        <f ca="1">Q56+Q57</f>
        <v>259899</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5434</v>
      </c>
      <c r="D64" s="910" t="s">
        <v>791</v>
      </c>
      <c r="E64" s="896" t="s">
        <v>783</v>
      </c>
      <c r="F64" s="320">
        <f t="shared" ca="1" si="0"/>
        <v>1.4999999999999999E-2</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408</v>
      </c>
      <c r="D65" s="910" t="s">
        <v>743</v>
      </c>
      <c r="E65" s="896" t="s">
        <v>744</v>
      </c>
      <c r="F65" s="321">
        <f t="shared" ca="1" si="0"/>
        <v>1.5E-3</v>
      </c>
      <c r="I65" s="1367" t="s">
        <v>867</v>
      </c>
      <c r="J65" s="610">
        <v>40</v>
      </c>
      <c r="K65" s="610">
        <v>30</v>
      </c>
      <c r="L65" s="610">
        <v>50</v>
      </c>
      <c r="M65" s="1369">
        <v>0.02</v>
      </c>
      <c r="O65" s="1325" t="s">
        <v>403</v>
      </c>
      <c r="P65" s="1326" t="s">
        <v>868</v>
      </c>
      <c r="Q65" s="1327">
        <f ca="1">C40+J29</f>
        <v>259899</v>
      </c>
      <c r="R65" s="1327" t="s">
        <v>818</v>
      </c>
    </row>
    <row r="66" spans="1:18" s="1292" customFormat="1" ht="16.5"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-5842</v>
      </c>
      <c r="D67" s="909" t="s">
        <v>753</v>
      </c>
      <c r="E67" s="914"/>
      <c r="F67" s="915"/>
      <c r="O67" s="1334" t="s">
        <v>405</v>
      </c>
      <c r="P67" s="1326" t="s">
        <v>850</v>
      </c>
      <c r="Q67" s="1370">
        <f ca="1">L51</f>
        <v>-12467</v>
      </c>
      <c r="R67" s="1327" t="s">
        <v>870</v>
      </c>
    </row>
    <row r="68" spans="1:18" s="1292" customFormat="1" ht="16.5" thickBot="1">
      <c r="A68" s="893" t="s">
        <v>395</v>
      </c>
      <c r="B68" s="894" t="s">
        <v>774</v>
      </c>
      <c r="C68" s="293">
        <f ca="1">ROUND(C67*(1-((1+F70)/(1+F68))^F69)/(F68-F70),0)</f>
        <v>-71876</v>
      </c>
      <c r="D68" s="911" t="s">
        <v>758</v>
      </c>
      <c r="E68" s="896" t="s">
        <v>759</v>
      </c>
      <c r="F68" s="304">
        <f ca="1">F40</f>
        <v>0.06</v>
      </c>
      <c r="O68" s="1334" t="s">
        <v>406</v>
      </c>
      <c r="P68" s="1371" t="s">
        <v>871</v>
      </c>
      <c r="Q68" s="1327">
        <f ca="1">ROUND(Q69-Q70*Q71,0)</f>
        <v>-753</v>
      </c>
      <c r="R68" s="1327" t="s">
        <v>414</v>
      </c>
    </row>
    <row r="69" spans="1:18" s="1292" customFormat="1" ht="13.5" thickBot="1">
      <c r="A69" s="897"/>
      <c r="B69" s="898"/>
      <c r="C69" s="298"/>
      <c r="D69" s="916" t="s">
        <v>762</v>
      </c>
      <c r="E69" s="896" t="s">
        <v>763</v>
      </c>
      <c r="F69" s="324">
        <f ca="1">F41</f>
        <v>23</v>
      </c>
      <c r="O69" s="1334" t="s">
        <v>411</v>
      </c>
      <c r="P69" s="1371" t="s">
        <v>872</v>
      </c>
      <c r="Q69" s="1327">
        <f ca="1">C39</f>
        <v>16907</v>
      </c>
      <c r="R69" s="1327" t="s">
        <v>818</v>
      </c>
    </row>
    <row r="70" spans="1:18" s="1292" customFormat="1" ht="13.5" thickBot="1">
      <c r="A70" s="900"/>
      <c r="B70" s="901"/>
      <c r="C70" s="302"/>
      <c r="D70" s="912"/>
      <c r="E70" s="896" t="s">
        <v>766</v>
      </c>
      <c r="F70" s="991"/>
      <c r="O70" s="1334" t="s">
        <v>412</v>
      </c>
      <c r="P70" s="1371" t="s">
        <v>873</v>
      </c>
      <c r="Q70" s="1327">
        <f ca="1">C13</f>
        <v>271698</v>
      </c>
      <c r="R70" s="1327" t="s">
        <v>818</v>
      </c>
    </row>
    <row r="71" spans="1:18" s="1292" customFormat="1" ht="13.5" thickBot="1">
      <c r="A71" s="917" t="s">
        <v>396</v>
      </c>
      <c r="B71" s="918" t="s">
        <v>776</v>
      </c>
      <c r="C71" s="327">
        <f ca="1">ROUND(C68/F71,0)</f>
        <v>-1032</v>
      </c>
      <c r="D71" s="919" t="s">
        <v>777</v>
      </c>
      <c r="E71" s="920" t="s">
        <v>778</v>
      </c>
      <c r="F71" s="330">
        <f ca="1">F43</f>
        <v>69.63</v>
      </c>
      <c r="O71" s="1334" t="s">
        <v>413</v>
      </c>
      <c r="P71" s="1371" t="s">
        <v>874</v>
      </c>
      <c r="Q71" s="1337">
        <f ca="1">C76</f>
        <v>6.5000000000000002E-2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17660</v>
      </c>
      <c r="D75" s="1292"/>
      <c r="E75" s="1292"/>
      <c r="F75" s="1292"/>
      <c r="K75" s="1309"/>
      <c r="L75" s="1292"/>
      <c r="O75" s="1325" t="s">
        <v>409</v>
      </c>
      <c r="P75" s="1326" t="s">
        <v>838</v>
      </c>
      <c r="Q75" s="1327">
        <f ca="1">Q65+Q66</f>
        <v>259899</v>
      </c>
      <c r="R75" s="1327" t="s">
        <v>410</v>
      </c>
    </row>
    <row r="76" spans="1:18">
      <c r="B76" s="333" t="s">
        <v>796</v>
      </c>
      <c r="C76" s="334">
        <f ca="1">INDIRECT("'数据-取费表'!j"&amp;$G$1)</f>
        <v>6.5000000000000002E-2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-4.4999999999999929E-2</v>
      </c>
    </row>
    <row r="80" spans="1:18">
      <c r="B80" s="331" t="s">
        <v>800</v>
      </c>
      <c r="C80" s="266">
        <f ca="1">ROUND(C75/C39,3)</f>
        <v>1.0449999999999999</v>
      </c>
    </row>
    <row r="81" spans="2:3">
      <c r="B81" s="262" t="s">
        <v>801</v>
      </c>
      <c r="C81" s="230"/>
    </row>
    <row r="82" spans="2:3">
      <c r="B82" s="265" t="s">
        <v>802</v>
      </c>
      <c r="C82" s="267">
        <f ca="1">1-C83</f>
        <v>-4.4999999999999929E-2</v>
      </c>
    </row>
    <row r="83" spans="2:3">
      <c r="B83" s="265" t="s">
        <v>803</v>
      </c>
      <c r="C83" s="266">
        <f ca="1">ROUND(C13/C40,3)</f>
        <v>1.0449999999999999</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1" customWidth="1"/>
    <col min="2" max="2" width="8.875" style="2591"/>
    <col min="3" max="5" width="12.875" style="2591" customWidth="1"/>
    <col min="6" max="6" width="47.5" style="2591" customWidth="1"/>
    <col min="7" max="7" width="13" style="2585" customWidth="1"/>
    <col min="8" max="8" width="8.875" style="2585"/>
    <col min="9" max="9" width="8.875" style="2586"/>
    <col min="10" max="10" width="5.75" style="2745" customWidth="1"/>
    <col min="11" max="11" width="11.75" style="2745" customWidth="1"/>
    <col min="12" max="13" width="10.75" style="2745" customWidth="1"/>
    <col min="14" max="14" width="10" style="2745" customWidth="1"/>
    <col min="15" max="16" width="10.5" style="2745" bestFit="1" customWidth="1"/>
    <col min="17" max="17" width="10" style="2745" customWidth="1"/>
    <col min="18" max="18" width="10.125" style="2745" customWidth="1"/>
    <col min="19" max="19" width="10" style="2745" customWidth="1"/>
    <col min="20" max="20" width="26.125" style="2745" customWidth="1"/>
    <col min="21" max="21" width="8.875" style="2745"/>
    <col min="22" max="22" width="8.875" style="2586"/>
    <col min="23" max="256" width="8.875" style="2591"/>
    <col min="257" max="257" width="9.5" style="2591" customWidth="1"/>
    <col min="258" max="258" width="8.875" style="2591"/>
    <col min="259" max="261" width="12.875" style="2591" customWidth="1"/>
    <col min="262" max="262" width="47.5" style="2591" customWidth="1"/>
    <col min="263" max="263" width="13" style="2591" customWidth="1"/>
    <col min="264" max="265" width="8.875" style="2591"/>
    <col min="266" max="266" width="5.75" style="2591" customWidth="1"/>
    <col min="267" max="267" width="11.75" style="2591" customWidth="1"/>
    <col min="268" max="269" width="10.75" style="2591" customWidth="1"/>
    <col min="270" max="270" width="10" style="2591" customWidth="1"/>
    <col min="271" max="272" width="10.5" style="2591" bestFit="1" customWidth="1"/>
    <col min="273" max="273" width="10" style="2591" customWidth="1"/>
    <col min="274" max="274" width="10.125" style="2591" customWidth="1"/>
    <col min="275" max="275" width="10" style="2591" customWidth="1"/>
    <col min="276" max="276" width="26.125" style="2591" customWidth="1"/>
    <col min="277" max="512" width="8.875" style="2591"/>
    <col min="513" max="513" width="9.5" style="2591" customWidth="1"/>
    <col min="514" max="514" width="8.875" style="2591"/>
    <col min="515" max="517" width="12.875" style="2591" customWidth="1"/>
    <col min="518" max="518" width="47.5" style="2591" customWidth="1"/>
    <col min="519" max="519" width="13" style="2591" customWidth="1"/>
    <col min="520" max="521" width="8.875" style="2591"/>
    <col min="522" max="522" width="5.75" style="2591" customWidth="1"/>
    <col min="523" max="523" width="11.75" style="2591" customWidth="1"/>
    <col min="524" max="525" width="10.75" style="2591" customWidth="1"/>
    <col min="526" max="526" width="10" style="2591" customWidth="1"/>
    <col min="527" max="528" width="10.5" style="2591" bestFit="1" customWidth="1"/>
    <col min="529" max="529" width="10" style="2591" customWidth="1"/>
    <col min="530" max="530" width="10.125" style="2591" customWidth="1"/>
    <col min="531" max="531" width="10" style="2591" customWidth="1"/>
    <col min="532" max="532" width="26.125" style="2591" customWidth="1"/>
    <col min="533" max="768" width="8.875" style="2591"/>
    <col min="769" max="769" width="9.5" style="2591" customWidth="1"/>
    <col min="770" max="770" width="8.875" style="2591"/>
    <col min="771" max="773" width="12.875" style="2591" customWidth="1"/>
    <col min="774" max="774" width="47.5" style="2591" customWidth="1"/>
    <col min="775" max="775" width="13" style="2591" customWidth="1"/>
    <col min="776" max="777" width="8.875" style="2591"/>
    <col min="778" max="778" width="5.75" style="2591" customWidth="1"/>
    <col min="779" max="779" width="11.75" style="2591" customWidth="1"/>
    <col min="780" max="781" width="10.75" style="2591" customWidth="1"/>
    <col min="782" max="782" width="10" style="2591" customWidth="1"/>
    <col min="783" max="784" width="10.5" style="2591" bestFit="1" customWidth="1"/>
    <col min="785" max="785" width="10" style="2591" customWidth="1"/>
    <col min="786" max="786" width="10.125" style="2591" customWidth="1"/>
    <col min="787" max="787" width="10" style="2591" customWidth="1"/>
    <col min="788" max="788" width="26.125" style="2591" customWidth="1"/>
    <col min="789" max="1024" width="8.875" style="2591"/>
    <col min="1025" max="1025" width="9.5" style="2591" customWidth="1"/>
    <col min="1026" max="1026" width="8.875" style="2591"/>
    <col min="1027" max="1029" width="12.875" style="2591" customWidth="1"/>
    <col min="1030" max="1030" width="47.5" style="2591" customWidth="1"/>
    <col min="1031" max="1031" width="13" style="2591" customWidth="1"/>
    <col min="1032" max="1033" width="8.875" style="2591"/>
    <col min="1034" max="1034" width="5.75" style="2591" customWidth="1"/>
    <col min="1035" max="1035" width="11.75" style="2591" customWidth="1"/>
    <col min="1036" max="1037" width="10.75" style="2591" customWidth="1"/>
    <col min="1038" max="1038" width="10" style="2591" customWidth="1"/>
    <col min="1039" max="1040" width="10.5" style="2591" bestFit="1" customWidth="1"/>
    <col min="1041" max="1041" width="10" style="2591" customWidth="1"/>
    <col min="1042" max="1042" width="10.125" style="2591" customWidth="1"/>
    <col min="1043" max="1043" width="10" style="2591" customWidth="1"/>
    <col min="1044" max="1044" width="26.125" style="2591" customWidth="1"/>
    <col min="1045" max="1280" width="8.875" style="2591"/>
    <col min="1281" max="1281" width="9.5" style="2591" customWidth="1"/>
    <col min="1282" max="1282" width="8.875" style="2591"/>
    <col min="1283" max="1285" width="12.875" style="2591" customWidth="1"/>
    <col min="1286" max="1286" width="47.5" style="2591" customWidth="1"/>
    <col min="1287" max="1287" width="13" style="2591" customWidth="1"/>
    <col min="1288" max="1289" width="8.875" style="2591"/>
    <col min="1290" max="1290" width="5.75" style="2591" customWidth="1"/>
    <col min="1291" max="1291" width="11.75" style="2591" customWidth="1"/>
    <col min="1292" max="1293" width="10.75" style="2591" customWidth="1"/>
    <col min="1294" max="1294" width="10" style="2591" customWidth="1"/>
    <col min="1295" max="1296" width="10.5" style="2591" bestFit="1" customWidth="1"/>
    <col min="1297" max="1297" width="10" style="2591" customWidth="1"/>
    <col min="1298" max="1298" width="10.125" style="2591" customWidth="1"/>
    <col min="1299" max="1299" width="10" style="2591" customWidth="1"/>
    <col min="1300" max="1300" width="26.125" style="2591" customWidth="1"/>
    <col min="1301" max="1536" width="8.875" style="2591"/>
    <col min="1537" max="1537" width="9.5" style="2591" customWidth="1"/>
    <col min="1538" max="1538" width="8.875" style="2591"/>
    <col min="1539" max="1541" width="12.875" style="2591" customWidth="1"/>
    <col min="1542" max="1542" width="47.5" style="2591" customWidth="1"/>
    <col min="1543" max="1543" width="13" style="2591" customWidth="1"/>
    <col min="1544" max="1545" width="8.875" style="2591"/>
    <col min="1546" max="1546" width="5.75" style="2591" customWidth="1"/>
    <col min="1547" max="1547" width="11.75" style="2591" customWidth="1"/>
    <col min="1548" max="1549" width="10.75" style="2591" customWidth="1"/>
    <col min="1550" max="1550" width="10" style="2591" customWidth="1"/>
    <col min="1551" max="1552" width="10.5" style="2591" bestFit="1" customWidth="1"/>
    <col min="1553" max="1553" width="10" style="2591" customWidth="1"/>
    <col min="1554" max="1554" width="10.125" style="2591" customWidth="1"/>
    <col min="1555" max="1555" width="10" style="2591" customWidth="1"/>
    <col min="1556" max="1556" width="26.125" style="2591" customWidth="1"/>
    <col min="1557" max="1792" width="8.875" style="2591"/>
    <col min="1793" max="1793" width="9.5" style="2591" customWidth="1"/>
    <col min="1794" max="1794" width="8.875" style="2591"/>
    <col min="1795" max="1797" width="12.875" style="2591" customWidth="1"/>
    <col min="1798" max="1798" width="47.5" style="2591" customWidth="1"/>
    <col min="1799" max="1799" width="13" style="2591" customWidth="1"/>
    <col min="1800" max="1801" width="8.875" style="2591"/>
    <col min="1802" max="1802" width="5.75" style="2591" customWidth="1"/>
    <col min="1803" max="1803" width="11.75" style="2591" customWidth="1"/>
    <col min="1804" max="1805" width="10.75" style="2591" customWidth="1"/>
    <col min="1806" max="1806" width="10" style="2591" customWidth="1"/>
    <col min="1807" max="1808" width="10.5" style="2591" bestFit="1" customWidth="1"/>
    <col min="1809" max="1809" width="10" style="2591" customWidth="1"/>
    <col min="1810" max="1810" width="10.125" style="2591" customWidth="1"/>
    <col min="1811" max="1811" width="10" style="2591" customWidth="1"/>
    <col min="1812" max="1812" width="26.125" style="2591" customWidth="1"/>
    <col min="1813" max="2048" width="8.875" style="2591"/>
    <col min="2049" max="2049" width="9.5" style="2591" customWidth="1"/>
    <col min="2050" max="2050" width="8.875" style="2591"/>
    <col min="2051" max="2053" width="12.875" style="2591" customWidth="1"/>
    <col min="2054" max="2054" width="47.5" style="2591" customWidth="1"/>
    <col min="2055" max="2055" width="13" style="2591" customWidth="1"/>
    <col min="2056" max="2057" width="8.875" style="2591"/>
    <col min="2058" max="2058" width="5.75" style="2591" customWidth="1"/>
    <col min="2059" max="2059" width="11.75" style="2591" customWidth="1"/>
    <col min="2060" max="2061" width="10.75" style="2591" customWidth="1"/>
    <col min="2062" max="2062" width="10" style="2591" customWidth="1"/>
    <col min="2063" max="2064" width="10.5" style="2591" bestFit="1" customWidth="1"/>
    <col min="2065" max="2065" width="10" style="2591" customWidth="1"/>
    <col min="2066" max="2066" width="10.125" style="2591" customWidth="1"/>
    <col min="2067" max="2067" width="10" style="2591" customWidth="1"/>
    <col min="2068" max="2068" width="26.125" style="2591" customWidth="1"/>
    <col min="2069" max="2304" width="8.875" style="2591"/>
    <col min="2305" max="2305" width="9.5" style="2591" customWidth="1"/>
    <col min="2306" max="2306" width="8.875" style="2591"/>
    <col min="2307" max="2309" width="12.875" style="2591" customWidth="1"/>
    <col min="2310" max="2310" width="47.5" style="2591" customWidth="1"/>
    <col min="2311" max="2311" width="13" style="2591" customWidth="1"/>
    <col min="2312" max="2313" width="8.875" style="2591"/>
    <col min="2314" max="2314" width="5.75" style="2591" customWidth="1"/>
    <col min="2315" max="2315" width="11.75" style="2591" customWidth="1"/>
    <col min="2316" max="2317" width="10.75" style="2591" customWidth="1"/>
    <col min="2318" max="2318" width="10" style="2591" customWidth="1"/>
    <col min="2319" max="2320" width="10.5" style="2591" bestFit="1" customWidth="1"/>
    <col min="2321" max="2321" width="10" style="2591" customWidth="1"/>
    <col min="2322" max="2322" width="10.125" style="2591" customWidth="1"/>
    <col min="2323" max="2323" width="10" style="2591" customWidth="1"/>
    <col min="2324" max="2324" width="26.125" style="2591" customWidth="1"/>
    <col min="2325" max="2560" width="8.875" style="2591"/>
    <col min="2561" max="2561" width="9.5" style="2591" customWidth="1"/>
    <col min="2562" max="2562" width="8.875" style="2591"/>
    <col min="2563" max="2565" width="12.875" style="2591" customWidth="1"/>
    <col min="2566" max="2566" width="47.5" style="2591" customWidth="1"/>
    <col min="2567" max="2567" width="13" style="2591" customWidth="1"/>
    <col min="2568" max="2569" width="8.875" style="2591"/>
    <col min="2570" max="2570" width="5.75" style="2591" customWidth="1"/>
    <col min="2571" max="2571" width="11.75" style="2591" customWidth="1"/>
    <col min="2572" max="2573" width="10.75" style="2591" customWidth="1"/>
    <col min="2574" max="2574" width="10" style="2591" customWidth="1"/>
    <col min="2575" max="2576" width="10.5" style="2591" bestFit="1" customWidth="1"/>
    <col min="2577" max="2577" width="10" style="2591" customWidth="1"/>
    <col min="2578" max="2578" width="10.125" style="2591" customWidth="1"/>
    <col min="2579" max="2579" width="10" style="2591" customWidth="1"/>
    <col min="2580" max="2580" width="26.125" style="2591" customWidth="1"/>
    <col min="2581" max="2816" width="8.875" style="2591"/>
    <col min="2817" max="2817" width="9.5" style="2591" customWidth="1"/>
    <col min="2818" max="2818" width="8.875" style="2591"/>
    <col min="2819" max="2821" width="12.875" style="2591" customWidth="1"/>
    <col min="2822" max="2822" width="47.5" style="2591" customWidth="1"/>
    <col min="2823" max="2823" width="13" style="2591" customWidth="1"/>
    <col min="2824" max="2825" width="8.875" style="2591"/>
    <col min="2826" max="2826" width="5.75" style="2591" customWidth="1"/>
    <col min="2827" max="2827" width="11.75" style="2591" customWidth="1"/>
    <col min="2828" max="2829" width="10.75" style="2591" customWidth="1"/>
    <col min="2830" max="2830" width="10" style="2591" customWidth="1"/>
    <col min="2831" max="2832" width="10.5" style="2591" bestFit="1" customWidth="1"/>
    <col min="2833" max="2833" width="10" style="2591" customWidth="1"/>
    <col min="2834" max="2834" width="10.125" style="2591" customWidth="1"/>
    <col min="2835" max="2835" width="10" style="2591" customWidth="1"/>
    <col min="2836" max="2836" width="26.125" style="2591" customWidth="1"/>
    <col min="2837" max="3072" width="8.875" style="2591"/>
    <col min="3073" max="3073" width="9.5" style="2591" customWidth="1"/>
    <col min="3074" max="3074" width="8.875" style="2591"/>
    <col min="3075" max="3077" width="12.875" style="2591" customWidth="1"/>
    <col min="3078" max="3078" width="47.5" style="2591" customWidth="1"/>
    <col min="3079" max="3079" width="13" style="2591" customWidth="1"/>
    <col min="3080" max="3081" width="8.875" style="2591"/>
    <col min="3082" max="3082" width="5.75" style="2591" customWidth="1"/>
    <col min="3083" max="3083" width="11.75" style="2591" customWidth="1"/>
    <col min="3084" max="3085" width="10.75" style="2591" customWidth="1"/>
    <col min="3086" max="3086" width="10" style="2591" customWidth="1"/>
    <col min="3087" max="3088" width="10.5" style="2591" bestFit="1" customWidth="1"/>
    <col min="3089" max="3089" width="10" style="2591" customWidth="1"/>
    <col min="3090" max="3090" width="10.125" style="2591" customWidth="1"/>
    <col min="3091" max="3091" width="10" style="2591" customWidth="1"/>
    <col min="3092" max="3092" width="26.125" style="2591" customWidth="1"/>
    <col min="3093" max="3328" width="8.875" style="2591"/>
    <col min="3329" max="3329" width="9.5" style="2591" customWidth="1"/>
    <col min="3330" max="3330" width="8.875" style="2591"/>
    <col min="3331" max="3333" width="12.875" style="2591" customWidth="1"/>
    <col min="3334" max="3334" width="47.5" style="2591" customWidth="1"/>
    <col min="3335" max="3335" width="13" style="2591" customWidth="1"/>
    <col min="3336" max="3337" width="8.875" style="2591"/>
    <col min="3338" max="3338" width="5.75" style="2591" customWidth="1"/>
    <col min="3339" max="3339" width="11.75" style="2591" customWidth="1"/>
    <col min="3340" max="3341" width="10.75" style="2591" customWidth="1"/>
    <col min="3342" max="3342" width="10" style="2591" customWidth="1"/>
    <col min="3343" max="3344" width="10.5" style="2591" bestFit="1" customWidth="1"/>
    <col min="3345" max="3345" width="10" style="2591" customWidth="1"/>
    <col min="3346" max="3346" width="10.125" style="2591" customWidth="1"/>
    <col min="3347" max="3347" width="10" style="2591" customWidth="1"/>
    <col min="3348" max="3348" width="26.125" style="2591" customWidth="1"/>
    <col min="3349" max="3584" width="8.875" style="2591"/>
    <col min="3585" max="3585" width="9.5" style="2591" customWidth="1"/>
    <col min="3586" max="3586" width="8.875" style="2591"/>
    <col min="3587" max="3589" width="12.875" style="2591" customWidth="1"/>
    <col min="3590" max="3590" width="47.5" style="2591" customWidth="1"/>
    <col min="3591" max="3591" width="13" style="2591" customWidth="1"/>
    <col min="3592" max="3593" width="8.875" style="2591"/>
    <col min="3594" max="3594" width="5.75" style="2591" customWidth="1"/>
    <col min="3595" max="3595" width="11.75" style="2591" customWidth="1"/>
    <col min="3596" max="3597" width="10.75" style="2591" customWidth="1"/>
    <col min="3598" max="3598" width="10" style="2591" customWidth="1"/>
    <col min="3599" max="3600" width="10.5" style="2591" bestFit="1" customWidth="1"/>
    <col min="3601" max="3601" width="10" style="2591" customWidth="1"/>
    <col min="3602" max="3602" width="10.125" style="2591" customWidth="1"/>
    <col min="3603" max="3603" width="10" style="2591" customWidth="1"/>
    <col min="3604" max="3604" width="26.125" style="2591" customWidth="1"/>
    <col min="3605" max="3840" width="8.875" style="2591"/>
    <col min="3841" max="3841" width="9.5" style="2591" customWidth="1"/>
    <col min="3842" max="3842" width="8.875" style="2591"/>
    <col min="3843" max="3845" width="12.875" style="2591" customWidth="1"/>
    <col min="3846" max="3846" width="47.5" style="2591" customWidth="1"/>
    <col min="3847" max="3847" width="13" style="2591" customWidth="1"/>
    <col min="3848" max="3849" width="8.875" style="2591"/>
    <col min="3850" max="3850" width="5.75" style="2591" customWidth="1"/>
    <col min="3851" max="3851" width="11.75" style="2591" customWidth="1"/>
    <col min="3852" max="3853" width="10.75" style="2591" customWidth="1"/>
    <col min="3854" max="3854" width="10" style="2591" customWidth="1"/>
    <col min="3855" max="3856" width="10.5" style="2591" bestFit="1" customWidth="1"/>
    <col min="3857" max="3857" width="10" style="2591" customWidth="1"/>
    <col min="3858" max="3858" width="10.125" style="2591" customWidth="1"/>
    <col min="3859" max="3859" width="10" style="2591" customWidth="1"/>
    <col min="3860" max="3860" width="26.125" style="2591" customWidth="1"/>
    <col min="3861" max="4096" width="8.875" style="2591"/>
    <col min="4097" max="4097" width="9.5" style="2591" customWidth="1"/>
    <col min="4098" max="4098" width="8.875" style="2591"/>
    <col min="4099" max="4101" width="12.875" style="2591" customWidth="1"/>
    <col min="4102" max="4102" width="47.5" style="2591" customWidth="1"/>
    <col min="4103" max="4103" width="13" style="2591" customWidth="1"/>
    <col min="4104" max="4105" width="8.875" style="2591"/>
    <col min="4106" max="4106" width="5.75" style="2591" customWidth="1"/>
    <col min="4107" max="4107" width="11.75" style="2591" customWidth="1"/>
    <col min="4108" max="4109" width="10.75" style="2591" customWidth="1"/>
    <col min="4110" max="4110" width="10" style="2591" customWidth="1"/>
    <col min="4111" max="4112" width="10.5" style="2591" bestFit="1" customWidth="1"/>
    <col min="4113" max="4113" width="10" style="2591" customWidth="1"/>
    <col min="4114" max="4114" width="10.125" style="2591" customWidth="1"/>
    <col min="4115" max="4115" width="10" style="2591" customWidth="1"/>
    <col min="4116" max="4116" width="26.125" style="2591" customWidth="1"/>
    <col min="4117" max="4352" width="8.875" style="2591"/>
    <col min="4353" max="4353" width="9.5" style="2591" customWidth="1"/>
    <col min="4354" max="4354" width="8.875" style="2591"/>
    <col min="4355" max="4357" width="12.875" style="2591" customWidth="1"/>
    <col min="4358" max="4358" width="47.5" style="2591" customWidth="1"/>
    <col min="4359" max="4359" width="13" style="2591" customWidth="1"/>
    <col min="4360" max="4361" width="8.875" style="2591"/>
    <col min="4362" max="4362" width="5.75" style="2591" customWidth="1"/>
    <col min="4363" max="4363" width="11.75" style="2591" customWidth="1"/>
    <col min="4364" max="4365" width="10.75" style="2591" customWidth="1"/>
    <col min="4366" max="4366" width="10" style="2591" customWidth="1"/>
    <col min="4367" max="4368" width="10.5" style="2591" bestFit="1" customWidth="1"/>
    <col min="4369" max="4369" width="10" style="2591" customWidth="1"/>
    <col min="4370" max="4370" width="10.125" style="2591" customWidth="1"/>
    <col min="4371" max="4371" width="10" style="2591" customWidth="1"/>
    <col min="4372" max="4372" width="26.125" style="2591" customWidth="1"/>
    <col min="4373" max="4608" width="8.875" style="2591"/>
    <col min="4609" max="4609" width="9.5" style="2591" customWidth="1"/>
    <col min="4610" max="4610" width="8.875" style="2591"/>
    <col min="4611" max="4613" width="12.875" style="2591" customWidth="1"/>
    <col min="4614" max="4614" width="47.5" style="2591" customWidth="1"/>
    <col min="4615" max="4615" width="13" style="2591" customWidth="1"/>
    <col min="4616" max="4617" width="8.875" style="2591"/>
    <col min="4618" max="4618" width="5.75" style="2591" customWidth="1"/>
    <col min="4619" max="4619" width="11.75" style="2591" customWidth="1"/>
    <col min="4620" max="4621" width="10.75" style="2591" customWidth="1"/>
    <col min="4622" max="4622" width="10" style="2591" customWidth="1"/>
    <col min="4623" max="4624" width="10.5" style="2591" bestFit="1" customWidth="1"/>
    <col min="4625" max="4625" width="10" style="2591" customWidth="1"/>
    <col min="4626" max="4626" width="10.125" style="2591" customWidth="1"/>
    <col min="4627" max="4627" width="10" style="2591" customWidth="1"/>
    <col min="4628" max="4628" width="26.125" style="2591" customWidth="1"/>
    <col min="4629" max="4864" width="8.875" style="2591"/>
    <col min="4865" max="4865" width="9.5" style="2591" customWidth="1"/>
    <col min="4866" max="4866" width="8.875" style="2591"/>
    <col min="4867" max="4869" width="12.875" style="2591" customWidth="1"/>
    <col min="4870" max="4870" width="47.5" style="2591" customWidth="1"/>
    <col min="4871" max="4871" width="13" style="2591" customWidth="1"/>
    <col min="4872" max="4873" width="8.875" style="2591"/>
    <col min="4874" max="4874" width="5.75" style="2591" customWidth="1"/>
    <col min="4875" max="4875" width="11.75" style="2591" customWidth="1"/>
    <col min="4876" max="4877" width="10.75" style="2591" customWidth="1"/>
    <col min="4878" max="4878" width="10" style="2591" customWidth="1"/>
    <col min="4879" max="4880" width="10.5" style="2591" bestFit="1" customWidth="1"/>
    <col min="4881" max="4881" width="10" style="2591" customWidth="1"/>
    <col min="4882" max="4882" width="10.125" style="2591" customWidth="1"/>
    <col min="4883" max="4883" width="10" style="2591" customWidth="1"/>
    <col min="4884" max="4884" width="26.125" style="2591" customWidth="1"/>
    <col min="4885" max="5120" width="8.875" style="2591"/>
    <col min="5121" max="5121" width="9.5" style="2591" customWidth="1"/>
    <col min="5122" max="5122" width="8.875" style="2591"/>
    <col min="5123" max="5125" width="12.875" style="2591" customWidth="1"/>
    <col min="5126" max="5126" width="47.5" style="2591" customWidth="1"/>
    <col min="5127" max="5127" width="13" style="2591" customWidth="1"/>
    <col min="5128" max="5129" width="8.875" style="2591"/>
    <col min="5130" max="5130" width="5.75" style="2591" customWidth="1"/>
    <col min="5131" max="5131" width="11.75" style="2591" customWidth="1"/>
    <col min="5132" max="5133" width="10.75" style="2591" customWidth="1"/>
    <col min="5134" max="5134" width="10" style="2591" customWidth="1"/>
    <col min="5135" max="5136" width="10.5" style="2591" bestFit="1" customWidth="1"/>
    <col min="5137" max="5137" width="10" style="2591" customWidth="1"/>
    <col min="5138" max="5138" width="10.125" style="2591" customWidth="1"/>
    <col min="5139" max="5139" width="10" style="2591" customWidth="1"/>
    <col min="5140" max="5140" width="26.125" style="2591" customWidth="1"/>
    <col min="5141" max="5376" width="8.875" style="2591"/>
    <col min="5377" max="5377" width="9.5" style="2591" customWidth="1"/>
    <col min="5378" max="5378" width="8.875" style="2591"/>
    <col min="5379" max="5381" width="12.875" style="2591" customWidth="1"/>
    <col min="5382" max="5382" width="47.5" style="2591" customWidth="1"/>
    <col min="5383" max="5383" width="13" style="2591" customWidth="1"/>
    <col min="5384" max="5385" width="8.875" style="2591"/>
    <col min="5386" max="5386" width="5.75" style="2591" customWidth="1"/>
    <col min="5387" max="5387" width="11.75" style="2591" customWidth="1"/>
    <col min="5388" max="5389" width="10.75" style="2591" customWidth="1"/>
    <col min="5390" max="5390" width="10" style="2591" customWidth="1"/>
    <col min="5391" max="5392" width="10.5" style="2591" bestFit="1" customWidth="1"/>
    <col min="5393" max="5393" width="10" style="2591" customWidth="1"/>
    <col min="5394" max="5394" width="10.125" style="2591" customWidth="1"/>
    <col min="5395" max="5395" width="10" style="2591" customWidth="1"/>
    <col min="5396" max="5396" width="26.125" style="2591" customWidth="1"/>
    <col min="5397" max="5632" width="8.875" style="2591"/>
    <col min="5633" max="5633" width="9.5" style="2591" customWidth="1"/>
    <col min="5634" max="5634" width="8.875" style="2591"/>
    <col min="5635" max="5637" width="12.875" style="2591" customWidth="1"/>
    <col min="5638" max="5638" width="47.5" style="2591" customWidth="1"/>
    <col min="5639" max="5639" width="13" style="2591" customWidth="1"/>
    <col min="5640" max="5641" width="8.875" style="2591"/>
    <col min="5642" max="5642" width="5.75" style="2591" customWidth="1"/>
    <col min="5643" max="5643" width="11.75" style="2591" customWidth="1"/>
    <col min="5644" max="5645" width="10.75" style="2591" customWidth="1"/>
    <col min="5646" max="5646" width="10" style="2591" customWidth="1"/>
    <col min="5647" max="5648" width="10.5" style="2591" bestFit="1" customWidth="1"/>
    <col min="5649" max="5649" width="10" style="2591" customWidth="1"/>
    <col min="5650" max="5650" width="10.125" style="2591" customWidth="1"/>
    <col min="5651" max="5651" width="10" style="2591" customWidth="1"/>
    <col min="5652" max="5652" width="26.125" style="2591" customWidth="1"/>
    <col min="5653" max="5888" width="8.875" style="2591"/>
    <col min="5889" max="5889" width="9.5" style="2591" customWidth="1"/>
    <col min="5890" max="5890" width="8.875" style="2591"/>
    <col min="5891" max="5893" width="12.875" style="2591" customWidth="1"/>
    <col min="5894" max="5894" width="47.5" style="2591" customWidth="1"/>
    <col min="5895" max="5895" width="13" style="2591" customWidth="1"/>
    <col min="5896" max="5897" width="8.875" style="2591"/>
    <col min="5898" max="5898" width="5.75" style="2591" customWidth="1"/>
    <col min="5899" max="5899" width="11.75" style="2591" customWidth="1"/>
    <col min="5900" max="5901" width="10.75" style="2591" customWidth="1"/>
    <col min="5902" max="5902" width="10" style="2591" customWidth="1"/>
    <col min="5903" max="5904" width="10.5" style="2591" bestFit="1" customWidth="1"/>
    <col min="5905" max="5905" width="10" style="2591" customWidth="1"/>
    <col min="5906" max="5906" width="10.125" style="2591" customWidth="1"/>
    <col min="5907" max="5907" width="10" style="2591" customWidth="1"/>
    <col min="5908" max="5908" width="26.125" style="2591" customWidth="1"/>
    <col min="5909" max="6144" width="8.875" style="2591"/>
    <col min="6145" max="6145" width="9.5" style="2591" customWidth="1"/>
    <col min="6146" max="6146" width="8.875" style="2591"/>
    <col min="6147" max="6149" width="12.875" style="2591" customWidth="1"/>
    <col min="6150" max="6150" width="47.5" style="2591" customWidth="1"/>
    <col min="6151" max="6151" width="13" style="2591" customWidth="1"/>
    <col min="6152" max="6153" width="8.875" style="2591"/>
    <col min="6154" max="6154" width="5.75" style="2591" customWidth="1"/>
    <col min="6155" max="6155" width="11.75" style="2591" customWidth="1"/>
    <col min="6156" max="6157" width="10.75" style="2591" customWidth="1"/>
    <col min="6158" max="6158" width="10" style="2591" customWidth="1"/>
    <col min="6159" max="6160" width="10.5" style="2591" bestFit="1" customWidth="1"/>
    <col min="6161" max="6161" width="10" style="2591" customWidth="1"/>
    <col min="6162" max="6162" width="10.125" style="2591" customWidth="1"/>
    <col min="6163" max="6163" width="10" style="2591" customWidth="1"/>
    <col min="6164" max="6164" width="26.125" style="2591" customWidth="1"/>
    <col min="6165" max="6400" width="8.875" style="2591"/>
    <col min="6401" max="6401" width="9.5" style="2591" customWidth="1"/>
    <col min="6402" max="6402" width="8.875" style="2591"/>
    <col min="6403" max="6405" width="12.875" style="2591" customWidth="1"/>
    <col min="6406" max="6406" width="47.5" style="2591" customWidth="1"/>
    <col min="6407" max="6407" width="13" style="2591" customWidth="1"/>
    <col min="6408" max="6409" width="8.875" style="2591"/>
    <col min="6410" max="6410" width="5.75" style="2591" customWidth="1"/>
    <col min="6411" max="6411" width="11.75" style="2591" customWidth="1"/>
    <col min="6412" max="6413" width="10.75" style="2591" customWidth="1"/>
    <col min="6414" max="6414" width="10" style="2591" customWidth="1"/>
    <col min="6415" max="6416" width="10.5" style="2591" bestFit="1" customWidth="1"/>
    <col min="6417" max="6417" width="10" style="2591" customWidth="1"/>
    <col min="6418" max="6418" width="10.125" style="2591" customWidth="1"/>
    <col min="6419" max="6419" width="10" style="2591" customWidth="1"/>
    <col min="6420" max="6420" width="26.125" style="2591" customWidth="1"/>
    <col min="6421" max="6656" width="8.875" style="2591"/>
    <col min="6657" max="6657" width="9.5" style="2591" customWidth="1"/>
    <col min="6658" max="6658" width="8.875" style="2591"/>
    <col min="6659" max="6661" width="12.875" style="2591" customWidth="1"/>
    <col min="6662" max="6662" width="47.5" style="2591" customWidth="1"/>
    <col min="6663" max="6663" width="13" style="2591" customWidth="1"/>
    <col min="6664" max="6665" width="8.875" style="2591"/>
    <col min="6666" max="6666" width="5.75" style="2591" customWidth="1"/>
    <col min="6667" max="6667" width="11.75" style="2591" customWidth="1"/>
    <col min="6668" max="6669" width="10.75" style="2591" customWidth="1"/>
    <col min="6670" max="6670" width="10" style="2591" customWidth="1"/>
    <col min="6671" max="6672" width="10.5" style="2591" bestFit="1" customWidth="1"/>
    <col min="6673" max="6673" width="10" style="2591" customWidth="1"/>
    <col min="6674" max="6674" width="10.125" style="2591" customWidth="1"/>
    <col min="6675" max="6675" width="10" style="2591" customWidth="1"/>
    <col min="6676" max="6676" width="26.125" style="2591" customWidth="1"/>
    <col min="6677" max="6912" width="8.875" style="2591"/>
    <col min="6913" max="6913" width="9.5" style="2591" customWidth="1"/>
    <col min="6914" max="6914" width="8.875" style="2591"/>
    <col min="6915" max="6917" width="12.875" style="2591" customWidth="1"/>
    <col min="6918" max="6918" width="47.5" style="2591" customWidth="1"/>
    <col min="6919" max="6919" width="13" style="2591" customWidth="1"/>
    <col min="6920" max="6921" width="8.875" style="2591"/>
    <col min="6922" max="6922" width="5.75" style="2591" customWidth="1"/>
    <col min="6923" max="6923" width="11.75" style="2591" customWidth="1"/>
    <col min="6924" max="6925" width="10.75" style="2591" customWidth="1"/>
    <col min="6926" max="6926" width="10" style="2591" customWidth="1"/>
    <col min="6927" max="6928" width="10.5" style="2591" bestFit="1" customWidth="1"/>
    <col min="6929" max="6929" width="10" style="2591" customWidth="1"/>
    <col min="6930" max="6930" width="10.125" style="2591" customWidth="1"/>
    <col min="6931" max="6931" width="10" style="2591" customWidth="1"/>
    <col min="6932" max="6932" width="26.125" style="2591" customWidth="1"/>
    <col min="6933" max="7168" width="8.875" style="2591"/>
    <col min="7169" max="7169" width="9.5" style="2591" customWidth="1"/>
    <col min="7170" max="7170" width="8.875" style="2591"/>
    <col min="7171" max="7173" width="12.875" style="2591" customWidth="1"/>
    <col min="7174" max="7174" width="47.5" style="2591" customWidth="1"/>
    <col min="7175" max="7175" width="13" style="2591" customWidth="1"/>
    <col min="7176" max="7177" width="8.875" style="2591"/>
    <col min="7178" max="7178" width="5.75" style="2591" customWidth="1"/>
    <col min="7179" max="7179" width="11.75" style="2591" customWidth="1"/>
    <col min="7180" max="7181" width="10.75" style="2591" customWidth="1"/>
    <col min="7182" max="7182" width="10" style="2591" customWidth="1"/>
    <col min="7183" max="7184" width="10.5" style="2591" bestFit="1" customWidth="1"/>
    <col min="7185" max="7185" width="10" style="2591" customWidth="1"/>
    <col min="7186" max="7186" width="10.125" style="2591" customWidth="1"/>
    <col min="7187" max="7187" width="10" style="2591" customWidth="1"/>
    <col min="7188" max="7188" width="26.125" style="2591" customWidth="1"/>
    <col min="7189" max="7424" width="8.875" style="2591"/>
    <col min="7425" max="7425" width="9.5" style="2591" customWidth="1"/>
    <col min="7426" max="7426" width="8.875" style="2591"/>
    <col min="7427" max="7429" width="12.875" style="2591" customWidth="1"/>
    <col min="7430" max="7430" width="47.5" style="2591" customWidth="1"/>
    <col min="7431" max="7431" width="13" style="2591" customWidth="1"/>
    <col min="7432" max="7433" width="8.875" style="2591"/>
    <col min="7434" max="7434" width="5.75" style="2591" customWidth="1"/>
    <col min="7435" max="7435" width="11.75" style="2591" customWidth="1"/>
    <col min="7436" max="7437" width="10.75" style="2591" customWidth="1"/>
    <col min="7438" max="7438" width="10" style="2591" customWidth="1"/>
    <col min="7439" max="7440" width="10.5" style="2591" bestFit="1" customWidth="1"/>
    <col min="7441" max="7441" width="10" style="2591" customWidth="1"/>
    <col min="7442" max="7442" width="10.125" style="2591" customWidth="1"/>
    <col min="7443" max="7443" width="10" style="2591" customWidth="1"/>
    <col min="7444" max="7444" width="26.125" style="2591" customWidth="1"/>
    <col min="7445" max="7680" width="8.875" style="2591"/>
    <col min="7681" max="7681" width="9.5" style="2591" customWidth="1"/>
    <col min="7682" max="7682" width="8.875" style="2591"/>
    <col min="7683" max="7685" width="12.875" style="2591" customWidth="1"/>
    <col min="7686" max="7686" width="47.5" style="2591" customWidth="1"/>
    <col min="7687" max="7687" width="13" style="2591" customWidth="1"/>
    <col min="7688" max="7689" width="8.875" style="2591"/>
    <col min="7690" max="7690" width="5.75" style="2591" customWidth="1"/>
    <col min="7691" max="7691" width="11.75" style="2591" customWidth="1"/>
    <col min="7692" max="7693" width="10.75" style="2591" customWidth="1"/>
    <col min="7694" max="7694" width="10" style="2591" customWidth="1"/>
    <col min="7695" max="7696" width="10.5" style="2591" bestFit="1" customWidth="1"/>
    <col min="7697" max="7697" width="10" style="2591" customWidth="1"/>
    <col min="7698" max="7698" width="10.125" style="2591" customWidth="1"/>
    <col min="7699" max="7699" width="10" style="2591" customWidth="1"/>
    <col min="7700" max="7700" width="26.125" style="2591" customWidth="1"/>
    <col min="7701" max="7936" width="8.875" style="2591"/>
    <col min="7937" max="7937" width="9.5" style="2591" customWidth="1"/>
    <col min="7938" max="7938" width="8.875" style="2591"/>
    <col min="7939" max="7941" width="12.875" style="2591" customWidth="1"/>
    <col min="7942" max="7942" width="47.5" style="2591" customWidth="1"/>
    <col min="7943" max="7943" width="13" style="2591" customWidth="1"/>
    <col min="7944" max="7945" width="8.875" style="2591"/>
    <col min="7946" max="7946" width="5.75" style="2591" customWidth="1"/>
    <col min="7947" max="7947" width="11.75" style="2591" customWidth="1"/>
    <col min="7948" max="7949" width="10.75" style="2591" customWidth="1"/>
    <col min="7950" max="7950" width="10" style="2591" customWidth="1"/>
    <col min="7951" max="7952" width="10.5" style="2591" bestFit="1" customWidth="1"/>
    <col min="7953" max="7953" width="10" style="2591" customWidth="1"/>
    <col min="7954" max="7954" width="10.125" style="2591" customWidth="1"/>
    <col min="7955" max="7955" width="10" style="2591" customWidth="1"/>
    <col min="7956" max="7956" width="26.125" style="2591" customWidth="1"/>
    <col min="7957" max="8192" width="8.875" style="2591"/>
    <col min="8193" max="8193" width="9.5" style="2591" customWidth="1"/>
    <col min="8194" max="8194" width="8.875" style="2591"/>
    <col min="8195" max="8197" width="12.875" style="2591" customWidth="1"/>
    <col min="8198" max="8198" width="47.5" style="2591" customWidth="1"/>
    <col min="8199" max="8199" width="13" style="2591" customWidth="1"/>
    <col min="8200" max="8201" width="8.875" style="2591"/>
    <col min="8202" max="8202" width="5.75" style="2591" customWidth="1"/>
    <col min="8203" max="8203" width="11.75" style="2591" customWidth="1"/>
    <col min="8204" max="8205" width="10.75" style="2591" customWidth="1"/>
    <col min="8206" max="8206" width="10" style="2591" customWidth="1"/>
    <col min="8207" max="8208" width="10.5" style="2591" bestFit="1" customWidth="1"/>
    <col min="8209" max="8209" width="10" style="2591" customWidth="1"/>
    <col min="8210" max="8210" width="10.125" style="2591" customWidth="1"/>
    <col min="8211" max="8211" width="10" style="2591" customWidth="1"/>
    <col min="8212" max="8212" width="26.125" style="2591" customWidth="1"/>
    <col min="8213" max="8448" width="8.875" style="2591"/>
    <col min="8449" max="8449" width="9.5" style="2591" customWidth="1"/>
    <col min="8450" max="8450" width="8.875" style="2591"/>
    <col min="8451" max="8453" width="12.875" style="2591" customWidth="1"/>
    <col min="8454" max="8454" width="47.5" style="2591" customWidth="1"/>
    <col min="8455" max="8455" width="13" style="2591" customWidth="1"/>
    <col min="8456" max="8457" width="8.875" style="2591"/>
    <col min="8458" max="8458" width="5.75" style="2591" customWidth="1"/>
    <col min="8459" max="8459" width="11.75" style="2591" customWidth="1"/>
    <col min="8460" max="8461" width="10.75" style="2591" customWidth="1"/>
    <col min="8462" max="8462" width="10" style="2591" customWidth="1"/>
    <col min="8463" max="8464" width="10.5" style="2591" bestFit="1" customWidth="1"/>
    <col min="8465" max="8465" width="10" style="2591" customWidth="1"/>
    <col min="8466" max="8466" width="10.125" style="2591" customWidth="1"/>
    <col min="8467" max="8467" width="10" style="2591" customWidth="1"/>
    <col min="8468" max="8468" width="26.125" style="2591" customWidth="1"/>
    <col min="8469" max="8704" width="8.875" style="2591"/>
    <col min="8705" max="8705" width="9.5" style="2591" customWidth="1"/>
    <col min="8706" max="8706" width="8.875" style="2591"/>
    <col min="8707" max="8709" width="12.875" style="2591" customWidth="1"/>
    <col min="8710" max="8710" width="47.5" style="2591" customWidth="1"/>
    <col min="8711" max="8711" width="13" style="2591" customWidth="1"/>
    <col min="8712" max="8713" width="8.875" style="2591"/>
    <col min="8714" max="8714" width="5.75" style="2591" customWidth="1"/>
    <col min="8715" max="8715" width="11.75" style="2591" customWidth="1"/>
    <col min="8716" max="8717" width="10.75" style="2591" customWidth="1"/>
    <col min="8718" max="8718" width="10" style="2591" customWidth="1"/>
    <col min="8719" max="8720" width="10.5" style="2591" bestFit="1" customWidth="1"/>
    <col min="8721" max="8721" width="10" style="2591" customWidth="1"/>
    <col min="8722" max="8722" width="10.125" style="2591" customWidth="1"/>
    <col min="8723" max="8723" width="10" style="2591" customWidth="1"/>
    <col min="8724" max="8724" width="26.125" style="2591" customWidth="1"/>
    <col min="8725" max="8960" width="8.875" style="2591"/>
    <col min="8961" max="8961" width="9.5" style="2591" customWidth="1"/>
    <col min="8962" max="8962" width="8.875" style="2591"/>
    <col min="8963" max="8965" width="12.875" style="2591" customWidth="1"/>
    <col min="8966" max="8966" width="47.5" style="2591" customWidth="1"/>
    <col min="8967" max="8967" width="13" style="2591" customWidth="1"/>
    <col min="8968" max="8969" width="8.875" style="2591"/>
    <col min="8970" max="8970" width="5.75" style="2591" customWidth="1"/>
    <col min="8971" max="8971" width="11.75" style="2591" customWidth="1"/>
    <col min="8972" max="8973" width="10.75" style="2591" customWidth="1"/>
    <col min="8974" max="8974" width="10" style="2591" customWidth="1"/>
    <col min="8975" max="8976" width="10.5" style="2591" bestFit="1" customWidth="1"/>
    <col min="8977" max="8977" width="10" style="2591" customWidth="1"/>
    <col min="8978" max="8978" width="10.125" style="2591" customWidth="1"/>
    <col min="8979" max="8979" width="10" style="2591" customWidth="1"/>
    <col min="8980" max="8980" width="26.125" style="2591" customWidth="1"/>
    <col min="8981" max="9216" width="8.875" style="2591"/>
    <col min="9217" max="9217" width="9.5" style="2591" customWidth="1"/>
    <col min="9218" max="9218" width="8.875" style="2591"/>
    <col min="9219" max="9221" width="12.875" style="2591" customWidth="1"/>
    <col min="9222" max="9222" width="47.5" style="2591" customWidth="1"/>
    <col min="9223" max="9223" width="13" style="2591" customWidth="1"/>
    <col min="9224" max="9225" width="8.875" style="2591"/>
    <col min="9226" max="9226" width="5.75" style="2591" customWidth="1"/>
    <col min="9227" max="9227" width="11.75" style="2591" customWidth="1"/>
    <col min="9228" max="9229" width="10.75" style="2591" customWidth="1"/>
    <col min="9230" max="9230" width="10" style="2591" customWidth="1"/>
    <col min="9231" max="9232" width="10.5" style="2591" bestFit="1" customWidth="1"/>
    <col min="9233" max="9233" width="10" style="2591" customWidth="1"/>
    <col min="9234" max="9234" width="10.125" style="2591" customWidth="1"/>
    <col min="9235" max="9235" width="10" style="2591" customWidth="1"/>
    <col min="9236" max="9236" width="26.125" style="2591" customWidth="1"/>
    <col min="9237" max="9472" width="8.875" style="2591"/>
    <col min="9473" max="9473" width="9.5" style="2591" customWidth="1"/>
    <col min="9474" max="9474" width="8.875" style="2591"/>
    <col min="9475" max="9477" width="12.875" style="2591" customWidth="1"/>
    <col min="9478" max="9478" width="47.5" style="2591" customWidth="1"/>
    <col min="9479" max="9479" width="13" style="2591" customWidth="1"/>
    <col min="9480" max="9481" width="8.875" style="2591"/>
    <col min="9482" max="9482" width="5.75" style="2591" customWidth="1"/>
    <col min="9483" max="9483" width="11.75" style="2591" customWidth="1"/>
    <col min="9484" max="9485" width="10.75" style="2591" customWidth="1"/>
    <col min="9486" max="9486" width="10" style="2591" customWidth="1"/>
    <col min="9487" max="9488" width="10.5" style="2591" bestFit="1" customWidth="1"/>
    <col min="9489" max="9489" width="10" style="2591" customWidth="1"/>
    <col min="9490" max="9490" width="10.125" style="2591" customWidth="1"/>
    <col min="9491" max="9491" width="10" style="2591" customWidth="1"/>
    <col min="9492" max="9492" width="26.125" style="2591" customWidth="1"/>
    <col min="9493" max="9728" width="8.875" style="2591"/>
    <col min="9729" max="9729" width="9.5" style="2591" customWidth="1"/>
    <col min="9730" max="9730" width="8.875" style="2591"/>
    <col min="9731" max="9733" width="12.875" style="2591" customWidth="1"/>
    <col min="9734" max="9734" width="47.5" style="2591" customWidth="1"/>
    <col min="9735" max="9735" width="13" style="2591" customWidth="1"/>
    <col min="9736" max="9737" width="8.875" style="2591"/>
    <col min="9738" max="9738" width="5.75" style="2591" customWidth="1"/>
    <col min="9739" max="9739" width="11.75" style="2591" customWidth="1"/>
    <col min="9740" max="9741" width="10.75" style="2591" customWidth="1"/>
    <col min="9742" max="9742" width="10" style="2591" customWidth="1"/>
    <col min="9743" max="9744" width="10.5" style="2591" bestFit="1" customWidth="1"/>
    <col min="9745" max="9745" width="10" style="2591" customWidth="1"/>
    <col min="9746" max="9746" width="10.125" style="2591" customWidth="1"/>
    <col min="9747" max="9747" width="10" style="2591" customWidth="1"/>
    <col min="9748" max="9748" width="26.125" style="2591" customWidth="1"/>
    <col min="9749" max="9984" width="8.875" style="2591"/>
    <col min="9985" max="9985" width="9.5" style="2591" customWidth="1"/>
    <col min="9986" max="9986" width="8.875" style="2591"/>
    <col min="9987" max="9989" width="12.875" style="2591" customWidth="1"/>
    <col min="9990" max="9990" width="47.5" style="2591" customWidth="1"/>
    <col min="9991" max="9991" width="13" style="2591" customWidth="1"/>
    <col min="9992" max="9993" width="8.875" style="2591"/>
    <col min="9994" max="9994" width="5.75" style="2591" customWidth="1"/>
    <col min="9995" max="9995" width="11.75" style="2591" customWidth="1"/>
    <col min="9996" max="9997" width="10.75" style="2591" customWidth="1"/>
    <col min="9998" max="9998" width="10" style="2591" customWidth="1"/>
    <col min="9999" max="10000" width="10.5" style="2591" bestFit="1" customWidth="1"/>
    <col min="10001" max="10001" width="10" style="2591" customWidth="1"/>
    <col min="10002" max="10002" width="10.125" style="2591" customWidth="1"/>
    <col min="10003" max="10003" width="10" style="2591" customWidth="1"/>
    <col min="10004" max="10004" width="26.125" style="2591" customWidth="1"/>
    <col min="10005" max="10240" width="8.875" style="2591"/>
    <col min="10241" max="10241" width="9.5" style="2591" customWidth="1"/>
    <col min="10242" max="10242" width="8.875" style="2591"/>
    <col min="10243" max="10245" width="12.875" style="2591" customWidth="1"/>
    <col min="10246" max="10246" width="47.5" style="2591" customWidth="1"/>
    <col min="10247" max="10247" width="13" style="2591" customWidth="1"/>
    <col min="10248" max="10249" width="8.875" style="2591"/>
    <col min="10250" max="10250" width="5.75" style="2591" customWidth="1"/>
    <col min="10251" max="10251" width="11.75" style="2591" customWidth="1"/>
    <col min="10252" max="10253" width="10.75" style="2591" customWidth="1"/>
    <col min="10254" max="10254" width="10" style="2591" customWidth="1"/>
    <col min="10255" max="10256" width="10.5" style="2591" bestFit="1" customWidth="1"/>
    <col min="10257" max="10257" width="10" style="2591" customWidth="1"/>
    <col min="10258" max="10258" width="10.125" style="2591" customWidth="1"/>
    <col min="10259" max="10259" width="10" style="2591" customWidth="1"/>
    <col min="10260" max="10260" width="26.125" style="2591" customWidth="1"/>
    <col min="10261" max="10496" width="8.875" style="2591"/>
    <col min="10497" max="10497" width="9.5" style="2591" customWidth="1"/>
    <col min="10498" max="10498" width="8.875" style="2591"/>
    <col min="10499" max="10501" width="12.875" style="2591" customWidth="1"/>
    <col min="10502" max="10502" width="47.5" style="2591" customWidth="1"/>
    <col min="10503" max="10503" width="13" style="2591" customWidth="1"/>
    <col min="10504" max="10505" width="8.875" style="2591"/>
    <col min="10506" max="10506" width="5.75" style="2591" customWidth="1"/>
    <col min="10507" max="10507" width="11.75" style="2591" customWidth="1"/>
    <col min="10508" max="10509" width="10.75" style="2591" customWidth="1"/>
    <col min="10510" max="10510" width="10" style="2591" customWidth="1"/>
    <col min="10511" max="10512" width="10.5" style="2591" bestFit="1" customWidth="1"/>
    <col min="10513" max="10513" width="10" style="2591" customWidth="1"/>
    <col min="10514" max="10514" width="10.125" style="2591" customWidth="1"/>
    <col min="10515" max="10515" width="10" style="2591" customWidth="1"/>
    <col min="10516" max="10516" width="26.125" style="2591" customWidth="1"/>
    <col min="10517" max="10752" width="8.875" style="2591"/>
    <col min="10753" max="10753" width="9.5" style="2591" customWidth="1"/>
    <col min="10754" max="10754" width="8.875" style="2591"/>
    <col min="10755" max="10757" width="12.875" style="2591" customWidth="1"/>
    <col min="10758" max="10758" width="47.5" style="2591" customWidth="1"/>
    <col min="10759" max="10759" width="13" style="2591" customWidth="1"/>
    <col min="10760" max="10761" width="8.875" style="2591"/>
    <col min="10762" max="10762" width="5.75" style="2591" customWidth="1"/>
    <col min="10763" max="10763" width="11.75" style="2591" customWidth="1"/>
    <col min="10764" max="10765" width="10.75" style="2591" customWidth="1"/>
    <col min="10766" max="10766" width="10" style="2591" customWidth="1"/>
    <col min="10767" max="10768" width="10.5" style="2591" bestFit="1" customWidth="1"/>
    <col min="10769" max="10769" width="10" style="2591" customWidth="1"/>
    <col min="10770" max="10770" width="10.125" style="2591" customWidth="1"/>
    <col min="10771" max="10771" width="10" style="2591" customWidth="1"/>
    <col min="10772" max="10772" width="26.125" style="2591" customWidth="1"/>
    <col min="10773" max="11008" width="8.875" style="2591"/>
    <col min="11009" max="11009" width="9.5" style="2591" customWidth="1"/>
    <col min="11010" max="11010" width="8.875" style="2591"/>
    <col min="11011" max="11013" width="12.875" style="2591" customWidth="1"/>
    <col min="11014" max="11014" width="47.5" style="2591" customWidth="1"/>
    <col min="11015" max="11015" width="13" style="2591" customWidth="1"/>
    <col min="11016" max="11017" width="8.875" style="2591"/>
    <col min="11018" max="11018" width="5.75" style="2591" customWidth="1"/>
    <col min="11019" max="11019" width="11.75" style="2591" customWidth="1"/>
    <col min="11020" max="11021" width="10.75" style="2591" customWidth="1"/>
    <col min="11022" max="11022" width="10" style="2591" customWidth="1"/>
    <col min="11023" max="11024" width="10.5" style="2591" bestFit="1" customWidth="1"/>
    <col min="11025" max="11025" width="10" style="2591" customWidth="1"/>
    <col min="11026" max="11026" width="10.125" style="2591" customWidth="1"/>
    <col min="11027" max="11027" width="10" style="2591" customWidth="1"/>
    <col min="11028" max="11028" width="26.125" style="2591" customWidth="1"/>
    <col min="11029" max="11264" width="8.875" style="2591"/>
    <col min="11265" max="11265" width="9.5" style="2591" customWidth="1"/>
    <col min="11266" max="11266" width="8.875" style="2591"/>
    <col min="11267" max="11269" width="12.875" style="2591" customWidth="1"/>
    <col min="11270" max="11270" width="47.5" style="2591" customWidth="1"/>
    <col min="11271" max="11271" width="13" style="2591" customWidth="1"/>
    <col min="11272" max="11273" width="8.875" style="2591"/>
    <col min="11274" max="11274" width="5.75" style="2591" customWidth="1"/>
    <col min="11275" max="11275" width="11.75" style="2591" customWidth="1"/>
    <col min="11276" max="11277" width="10.75" style="2591" customWidth="1"/>
    <col min="11278" max="11278" width="10" style="2591" customWidth="1"/>
    <col min="11279" max="11280" width="10.5" style="2591" bestFit="1" customWidth="1"/>
    <col min="11281" max="11281" width="10" style="2591" customWidth="1"/>
    <col min="11282" max="11282" width="10.125" style="2591" customWidth="1"/>
    <col min="11283" max="11283" width="10" style="2591" customWidth="1"/>
    <col min="11284" max="11284" width="26.125" style="2591" customWidth="1"/>
    <col min="11285" max="11520" width="8.875" style="2591"/>
    <col min="11521" max="11521" width="9.5" style="2591" customWidth="1"/>
    <col min="11522" max="11522" width="8.875" style="2591"/>
    <col min="11523" max="11525" width="12.875" style="2591" customWidth="1"/>
    <col min="11526" max="11526" width="47.5" style="2591" customWidth="1"/>
    <col min="11527" max="11527" width="13" style="2591" customWidth="1"/>
    <col min="11528" max="11529" width="8.875" style="2591"/>
    <col min="11530" max="11530" width="5.75" style="2591" customWidth="1"/>
    <col min="11531" max="11531" width="11.75" style="2591" customWidth="1"/>
    <col min="11532" max="11533" width="10.75" style="2591" customWidth="1"/>
    <col min="11534" max="11534" width="10" style="2591" customWidth="1"/>
    <col min="11535" max="11536" width="10.5" style="2591" bestFit="1" customWidth="1"/>
    <col min="11537" max="11537" width="10" style="2591" customWidth="1"/>
    <col min="11538" max="11538" width="10.125" style="2591" customWidth="1"/>
    <col min="11539" max="11539" width="10" style="2591" customWidth="1"/>
    <col min="11540" max="11540" width="26.125" style="2591" customWidth="1"/>
    <col min="11541" max="11776" width="8.875" style="2591"/>
    <col min="11777" max="11777" width="9.5" style="2591" customWidth="1"/>
    <col min="11778" max="11778" width="8.875" style="2591"/>
    <col min="11779" max="11781" width="12.875" style="2591" customWidth="1"/>
    <col min="11782" max="11782" width="47.5" style="2591" customWidth="1"/>
    <col min="11783" max="11783" width="13" style="2591" customWidth="1"/>
    <col min="11784" max="11785" width="8.875" style="2591"/>
    <col min="11786" max="11786" width="5.75" style="2591" customWidth="1"/>
    <col min="11787" max="11787" width="11.75" style="2591" customWidth="1"/>
    <col min="11788" max="11789" width="10.75" style="2591" customWidth="1"/>
    <col min="11790" max="11790" width="10" style="2591" customWidth="1"/>
    <col min="11791" max="11792" width="10.5" style="2591" bestFit="1" customWidth="1"/>
    <col min="11793" max="11793" width="10" style="2591" customWidth="1"/>
    <col min="11794" max="11794" width="10.125" style="2591" customWidth="1"/>
    <col min="11795" max="11795" width="10" style="2591" customWidth="1"/>
    <col min="11796" max="11796" width="26.125" style="2591" customWidth="1"/>
    <col min="11797" max="12032" width="8.875" style="2591"/>
    <col min="12033" max="12033" width="9.5" style="2591" customWidth="1"/>
    <col min="12034" max="12034" width="8.875" style="2591"/>
    <col min="12035" max="12037" width="12.875" style="2591" customWidth="1"/>
    <col min="12038" max="12038" width="47.5" style="2591" customWidth="1"/>
    <col min="12039" max="12039" width="13" style="2591" customWidth="1"/>
    <col min="12040" max="12041" width="8.875" style="2591"/>
    <col min="12042" max="12042" width="5.75" style="2591" customWidth="1"/>
    <col min="12043" max="12043" width="11.75" style="2591" customWidth="1"/>
    <col min="12044" max="12045" width="10.75" style="2591" customWidth="1"/>
    <col min="12046" max="12046" width="10" style="2591" customWidth="1"/>
    <col min="12047" max="12048" width="10.5" style="2591" bestFit="1" customWidth="1"/>
    <col min="12049" max="12049" width="10" style="2591" customWidth="1"/>
    <col min="12050" max="12050" width="10.125" style="2591" customWidth="1"/>
    <col min="12051" max="12051" width="10" style="2591" customWidth="1"/>
    <col min="12052" max="12052" width="26.125" style="2591" customWidth="1"/>
    <col min="12053" max="12288" width="8.875" style="2591"/>
    <col min="12289" max="12289" width="9.5" style="2591" customWidth="1"/>
    <col min="12290" max="12290" width="8.875" style="2591"/>
    <col min="12291" max="12293" width="12.875" style="2591" customWidth="1"/>
    <col min="12294" max="12294" width="47.5" style="2591" customWidth="1"/>
    <col min="12295" max="12295" width="13" style="2591" customWidth="1"/>
    <col min="12296" max="12297" width="8.875" style="2591"/>
    <col min="12298" max="12298" width="5.75" style="2591" customWidth="1"/>
    <col min="12299" max="12299" width="11.75" style="2591" customWidth="1"/>
    <col min="12300" max="12301" width="10.75" style="2591" customWidth="1"/>
    <col min="12302" max="12302" width="10" style="2591" customWidth="1"/>
    <col min="12303" max="12304" width="10.5" style="2591" bestFit="1" customWidth="1"/>
    <col min="12305" max="12305" width="10" style="2591" customWidth="1"/>
    <col min="12306" max="12306" width="10.125" style="2591" customWidth="1"/>
    <col min="12307" max="12307" width="10" style="2591" customWidth="1"/>
    <col min="12308" max="12308" width="26.125" style="2591" customWidth="1"/>
    <col min="12309" max="12544" width="8.875" style="2591"/>
    <col min="12545" max="12545" width="9.5" style="2591" customWidth="1"/>
    <col min="12546" max="12546" width="8.875" style="2591"/>
    <col min="12547" max="12549" width="12.875" style="2591" customWidth="1"/>
    <col min="12550" max="12550" width="47.5" style="2591" customWidth="1"/>
    <col min="12551" max="12551" width="13" style="2591" customWidth="1"/>
    <col min="12552" max="12553" width="8.875" style="2591"/>
    <col min="12554" max="12554" width="5.75" style="2591" customWidth="1"/>
    <col min="12555" max="12555" width="11.75" style="2591" customWidth="1"/>
    <col min="12556" max="12557" width="10.75" style="2591" customWidth="1"/>
    <col min="12558" max="12558" width="10" style="2591" customWidth="1"/>
    <col min="12559" max="12560" width="10.5" style="2591" bestFit="1" customWidth="1"/>
    <col min="12561" max="12561" width="10" style="2591" customWidth="1"/>
    <col min="12562" max="12562" width="10.125" style="2591" customWidth="1"/>
    <col min="12563" max="12563" width="10" style="2591" customWidth="1"/>
    <col min="12564" max="12564" width="26.125" style="2591" customWidth="1"/>
    <col min="12565" max="12800" width="8.875" style="2591"/>
    <col min="12801" max="12801" width="9.5" style="2591" customWidth="1"/>
    <col min="12802" max="12802" width="8.875" style="2591"/>
    <col min="12803" max="12805" width="12.875" style="2591" customWidth="1"/>
    <col min="12806" max="12806" width="47.5" style="2591" customWidth="1"/>
    <col min="12807" max="12807" width="13" style="2591" customWidth="1"/>
    <col min="12808" max="12809" width="8.875" style="2591"/>
    <col min="12810" max="12810" width="5.75" style="2591" customWidth="1"/>
    <col min="12811" max="12811" width="11.75" style="2591" customWidth="1"/>
    <col min="12812" max="12813" width="10.75" style="2591" customWidth="1"/>
    <col min="12814" max="12814" width="10" style="2591" customWidth="1"/>
    <col min="12815" max="12816" width="10.5" style="2591" bestFit="1" customWidth="1"/>
    <col min="12817" max="12817" width="10" style="2591" customWidth="1"/>
    <col min="12818" max="12818" width="10.125" style="2591" customWidth="1"/>
    <col min="12819" max="12819" width="10" style="2591" customWidth="1"/>
    <col min="12820" max="12820" width="26.125" style="2591" customWidth="1"/>
    <col min="12821" max="13056" width="8.875" style="2591"/>
    <col min="13057" max="13057" width="9.5" style="2591" customWidth="1"/>
    <col min="13058" max="13058" width="8.875" style="2591"/>
    <col min="13059" max="13061" width="12.875" style="2591" customWidth="1"/>
    <col min="13062" max="13062" width="47.5" style="2591" customWidth="1"/>
    <col min="13063" max="13063" width="13" style="2591" customWidth="1"/>
    <col min="13064" max="13065" width="8.875" style="2591"/>
    <col min="13066" max="13066" width="5.75" style="2591" customWidth="1"/>
    <col min="13067" max="13067" width="11.75" style="2591" customWidth="1"/>
    <col min="13068" max="13069" width="10.75" style="2591" customWidth="1"/>
    <col min="13070" max="13070" width="10" style="2591" customWidth="1"/>
    <col min="13071" max="13072" width="10.5" style="2591" bestFit="1" customWidth="1"/>
    <col min="13073" max="13073" width="10" style="2591" customWidth="1"/>
    <col min="13074" max="13074" width="10.125" style="2591" customWidth="1"/>
    <col min="13075" max="13075" width="10" style="2591" customWidth="1"/>
    <col min="13076" max="13076" width="26.125" style="2591" customWidth="1"/>
    <col min="13077" max="13312" width="8.875" style="2591"/>
    <col min="13313" max="13313" width="9.5" style="2591" customWidth="1"/>
    <col min="13314" max="13314" width="8.875" style="2591"/>
    <col min="13315" max="13317" width="12.875" style="2591" customWidth="1"/>
    <col min="13318" max="13318" width="47.5" style="2591" customWidth="1"/>
    <col min="13319" max="13319" width="13" style="2591" customWidth="1"/>
    <col min="13320" max="13321" width="8.875" style="2591"/>
    <col min="13322" max="13322" width="5.75" style="2591" customWidth="1"/>
    <col min="13323" max="13323" width="11.75" style="2591" customWidth="1"/>
    <col min="13324" max="13325" width="10.75" style="2591" customWidth="1"/>
    <col min="13326" max="13326" width="10" style="2591" customWidth="1"/>
    <col min="13327" max="13328" width="10.5" style="2591" bestFit="1" customWidth="1"/>
    <col min="13329" max="13329" width="10" style="2591" customWidth="1"/>
    <col min="13330" max="13330" width="10.125" style="2591" customWidth="1"/>
    <col min="13331" max="13331" width="10" style="2591" customWidth="1"/>
    <col min="13332" max="13332" width="26.125" style="2591" customWidth="1"/>
    <col min="13333" max="13568" width="8.875" style="2591"/>
    <col min="13569" max="13569" width="9.5" style="2591" customWidth="1"/>
    <col min="13570" max="13570" width="8.875" style="2591"/>
    <col min="13571" max="13573" width="12.875" style="2591" customWidth="1"/>
    <col min="13574" max="13574" width="47.5" style="2591" customWidth="1"/>
    <col min="13575" max="13575" width="13" style="2591" customWidth="1"/>
    <col min="13576" max="13577" width="8.875" style="2591"/>
    <col min="13578" max="13578" width="5.75" style="2591" customWidth="1"/>
    <col min="13579" max="13579" width="11.75" style="2591" customWidth="1"/>
    <col min="13580" max="13581" width="10.75" style="2591" customWidth="1"/>
    <col min="13582" max="13582" width="10" style="2591" customWidth="1"/>
    <col min="13583" max="13584" width="10.5" style="2591" bestFit="1" customWidth="1"/>
    <col min="13585" max="13585" width="10" style="2591" customWidth="1"/>
    <col min="13586" max="13586" width="10.125" style="2591" customWidth="1"/>
    <col min="13587" max="13587" width="10" style="2591" customWidth="1"/>
    <col min="13588" max="13588" width="26.125" style="2591" customWidth="1"/>
    <col min="13589" max="13824" width="8.875" style="2591"/>
    <col min="13825" max="13825" width="9.5" style="2591" customWidth="1"/>
    <col min="13826" max="13826" width="8.875" style="2591"/>
    <col min="13827" max="13829" width="12.875" style="2591" customWidth="1"/>
    <col min="13830" max="13830" width="47.5" style="2591" customWidth="1"/>
    <col min="13831" max="13831" width="13" style="2591" customWidth="1"/>
    <col min="13832" max="13833" width="8.875" style="2591"/>
    <col min="13834" max="13834" width="5.75" style="2591" customWidth="1"/>
    <col min="13835" max="13835" width="11.75" style="2591" customWidth="1"/>
    <col min="13836" max="13837" width="10.75" style="2591" customWidth="1"/>
    <col min="13838" max="13838" width="10" style="2591" customWidth="1"/>
    <col min="13839" max="13840" width="10.5" style="2591" bestFit="1" customWidth="1"/>
    <col min="13841" max="13841" width="10" style="2591" customWidth="1"/>
    <col min="13842" max="13842" width="10.125" style="2591" customWidth="1"/>
    <col min="13843" max="13843" width="10" style="2591" customWidth="1"/>
    <col min="13844" max="13844" width="26.125" style="2591" customWidth="1"/>
    <col min="13845" max="14080" width="8.875" style="2591"/>
    <col min="14081" max="14081" width="9.5" style="2591" customWidth="1"/>
    <col min="14082" max="14082" width="8.875" style="2591"/>
    <col min="14083" max="14085" width="12.875" style="2591" customWidth="1"/>
    <col min="14086" max="14086" width="47.5" style="2591" customWidth="1"/>
    <col min="14087" max="14087" width="13" style="2591" customWidth="1"/>
    <col min="14088" max="14089" width="8.875" style="2591"/>
    <col min="14090" max="14090" width="5.75" style="2591" customWidth="1"/>
    <col min="14091" max="14091" width="11.75" style="2591" customWidth="1"/>
    <col min="14092" max="14093" width="10.75" style="2591" customWidth="1"/>
    <col min="14094" max="14094" width="10" style="2591" customWidth="1"/>
    <col min="14095" max="14096" width="10.5" style="2591" bestFit="1" customWidth="1"/>
    <col min="14097" max="14097" width="10" style="2591" customWidth="1"/>
    <col min="14098" max="14098" width="10.125" style="2591" customWidth="1"/>
    <col min="14099" max="14099" width="10" style="2591" customWidth="1"/>
    <col min="14100" max="14100" width="26.125" style="2591" customWidth="1"/>
    <col min="14101" max="14336" width="8.875" style="2591"/>
    <col min="14337" max="14337" width="9.5" style="2591" customWidth="1"/>
    <col min="14338" max="14338" width="8.875" style="2591"/>
    <col min="14339" max="14341" width="12.875" style="2591" customWidth="1"/>
    <col min="14342" max="14342" width="47.5" style="2591" customWidth="1"/>
    <col min="14343" max="14343" width="13" style="2591" customWidth="1"/>
    <col min="14344" max="14345" width="8.875" style="2591"/>
    <col min="14346" max="14346" width="5.75" style="2591" customWidth="1"/>
    <col min="14347" max="14347" width="11.75" style="2591" customWidth="1"/>
    <col min="14348" max="14349" width="10.75" style="2591" customWidth="1"/>
    <col min="14350" max="14350" width="10" style="2591" customWidth="1"/>
    <col min="14351" max="14352" width="10.5" style="2591" bestFit="1" customWidth="1"/>
    <col min="14353" max="14353" width="10" style="2591" customWidth="1"/>
    <col min="14354" max="14354" width="10.125" style="2591" customWidth="1"/>
    <col min="14355" max="14355" width="10" style="2591" customWidth="1"/>
    <col min="14356" max="14356" width="26.125" style="2591" customWidth="1"/>
    <col min="14357" max="14592" width="8.875" style="2591"/>
    <col min="14593" max="14593" width="9.5" style="2591" customWidth="1"/>
    <col min="14594" max="14594" width="8.875" style="2591"/>
    <col min="14595" max="14597" width="12.875" style="2591" customWidth="1"/>
    <col min="14598" max="14598" width="47.5" style="2591" customWidth="1"/>
    <col min="14599" max="14599" width="13" style="2591" customWidth="1"/>
    <col min="14600" max="14601" width="8.875" style="2591"/>
    <col min="14602" max="14602" width="5.75" style="2591" customWidth="1"/>
    <col min="14603" max="14603" width="11.75" style="2591" customWidth="1"/>
    <col min="14604" max="14605" width="10.75" style="2591" customWidth="1"/>
    <col min="14606" max="14606" width="10" style="2591" customWidth="1"/>
    <col min="14607" max="14608" width="10.5" style="2591" bestFit="1" customWidth="1"/>
    <col min="14609" max="14609" width="10" style="2591" customWidth="1"/>
    <col min="14610" max="14610" width="10.125" style="2591" customWidth="1"/>
    <col min="14611" max="14611" width="10" style="2591" customWidth="1"/>
    <col min="14612" max="14612" width="26.125" style="2591" customWidth="1"/>
    <col min="14613" max="14848" width="8.875" style="2591"/>
    <col min="14849" max="14849" width="9.5" style="2591" customWidth="1"/>
    <col min="14850" max="14850" width="8.875" style="2591"/>
    <col min="14851" max="14853" width="12.875" style="2591" customWidth="1"/>
    <col min="14854" max="14854" width="47.5" style="2591" customWidth="1"/>
    <col min="14855" max="14855" width="13" style="2591" customWidth="1"/>
    <col min="14856" max="14857" width="8.875" style="2591"/>
    <col min="14858" max="14858" width="5.75" style="2591" customWidth="1"/>
    <col min="14859" max="14859" width="11.75" style="2591" customWidth="1"/>
    <col min="14860" max="14861" width="10.75" style="2591" customWidth="1"/>
    <col min="14862" max="14862" width="10" style="2591" customWidth="1"/>
    <col min="14863" max="14864" width="10.5" style="2591" bestFit="1" customWidth="1"/>
    <col min="14865" max="14865" width="10" style="2591" customWidth="1"/>
    <col min="14866" max="14866" width="10.125" style="2591" customWidth="1"/>
    <col min="14867" max="14867" width="10" style="2591" customWidth="1"/>
    <col min="14868" max="14868" width="26.125" style="2591" customWidth="1"/>
    <col min="14869" max="15104" width="8.875" style="2591"/>
    <col min="15105" max="15105" width="9.5" style="2591" customWidth="1"/>
    <col min="15106" max="15106" width="8.875" style="2591"/>
    <col min="15107" max="15109" width="12.875" style="2591" customWidth="1"/>
    <col min="15110" max="15110" width="47.5" style="2591" customWidth="1"/>
    <col min="15111" max="15111" width="13" style="2591" customWidth="1"/>
    <col min="15112" max="15113" width="8.875" style="2591"/>
    <col min="15114" max="15114" width="5.75" style="2591" customWidth="1"/>
    <col min="15115" max="15115" width="11.75" style="2591" customWidth="1"/>
    <col min="15116" max="15117" width="10.75" style="2591" customWidth="1"/>
    <col min="15118" max="15118" width="10" style="2591" customWidth="1"/>
    <col min="15119" max="15120" width="10.5" style="2591" bestFit="1" customWidth="1"/>
    <col min="15121" max="15121" width="10" style="2591" customWidth="1"/>
    <col min="15122" max="15122" width="10.125" style="2591" customWidth="1"/>
    <col min="15123" max="15123" width="10" style="2591" customWidth="1"/>
    <col min="15124" max="15124" width="26.125" style="2591" customWidth="1"/>
    <col min="15125" max="15360" width="8.875" style="2591"/>
    <col min="15361" max="15361" width="9.5" style="2591" customWidth="1"/>
    <col min="15362" max="15362" width="8.875" style="2591"/>
    <col min="15363" max="15365" width="12.875" style="2591" customWidth="1"/>
    <col min="15366" max="15366" width="47.5" style="2591" customWidth="1"/>
    <col min="15367" max="15367" width="13" style="2591" customWidth="1"/>
    <col min="15368" max="15369" width="8.875" style="2591"/>
    <col min="15370" max="15370" width="5.75" style="2591" customWidth="1"/>
    <col min="15371" max="15371" width="11.75" style="2591" customWidth="1"/>
    <col min="15372" max="15373" width="10.75" style="2591" customWidth="1"/>
    <col min="15374" max="15374" width="10" style="2591" customWidth="1"/>
    <col min="15375" max="15376" width="10.5" style="2591" bestFit="1" customWidth="1"/>
    <col min="15377" max="15377" width="10" style="2591" customWidth="1"/>
    <col min="15378" max="15378" width="10.125" style="2591" customWidth="1"/>
    <col min="15379" max="15379" width="10" style="2591" customWidth="1"/>
    <col min="15380" max="15380" width="26.125" style="2591" customWidth="1"/>
    <col min="15381" max="15616" width="8.875" style="2591"/>
    <col min="15617" max="15617" width="9.5" style="2591" customWidth="1"/>
    <col min="15618" max="15618" width="8.875" style="2591"/>
    <col min="15619" max="15621" width="12.875" style="2591" customWidth="1"/>
    <col min="15622" max="15622" width="47.5" style="2591" customWidth="1"/>
    <col min="15623" max="15623" width="13" style="2591" customWidth="1"/>
    <col min="15624" max="15625" width="8.875" style="2591"/>
    <col min="15626" max="15626" width="5.75" style="2591" customWidth="1"/>
    <col min="15627" max="15627" width="11.75" style="2591" customWidth="1"/>
    <col min="15628" max="15629" width="10.75" style="2591" customWidth="1"/>
    <col min="15630" max="15630" width="10" style="2591" customWidth="1"/>
    <col min="15631" max="15632" width="10.5" style="2591" bestFit="1" customWidth="1"/>
    <col min="15633" max="15633" width="10" style="2591" customWidth="1"/>
    <col min="15634" max="15634" width="10.125" style="2591" customWidth="1"/>
    <col min="15635" max="15635" width="10" style="2591" customWidth="1"/>
    <col min="15636" max="15636" width="26.125" style="2591" customWidth="1"/>
    <col min="15637" max="15872" width="8.875" style="2591"/>
    <col min="15873" max="15873" width="9.5" style="2591" customWidth="1"/>
    <col min="15874" max="15874" width="8.875" style="2591"/>
    <col min="15875" max="15877" width="12.875" style="2591" customWidth="1"/>
    <col min="15878" max="15878" width="47.5" style="2591" customWidth="1"/>
    <col min="15879" max="15879" width="13" style="2591" customWidth="1"/>
    <col min="15880" max="15881" width="8.875" style="2591"/>
    <col min="15882" max="15882" width="5.75" style="2591" customWidth="1"/>
    <col min="15883" max="15883" width="11.75" style="2591" customWidth="1"/>
    <col min="15884" max="15885" width="10.75" style="2591" customWidth="1"/>
    <col min="15886" max="15886" width="10" style="2591" customWidth="1"/>
    <col min="15887" max="15888" width="10.5" style="2591" bestFit="1" customWidth="1"/>
    <col min="15889" max="15889" width="10" style="2591" customWidth="1"/>
    <col min="15890" max="15890" width="10.125" style="2591" customWidth="1"/>
    <col min="15891" max="15891" width="10" style="2591" customWidth="1"/>
    <col min="15892" max="15892" width="26.125" style="2591" customWidth="1"/>
    <col min="15893" max="16128" width="8.875" style="2591"/>
    <col min="16129" max="16129" width="9.5" style="2591" customWidth="1"/>
    <col min="16130" max="16130" width="8.875" style="2591"/>
    <col min="16131" max="16133" width="12.875" style="2591" customWidth="1"/>
    <col min="16134" max="16134" width="47.5" style="2591" customWidth="1"/>
    <col min="16135" max="16135" width="13" style="2591" customWidth="1"/>
    <col min="16136" max="16137" width="8.875" style="2591"/>
    <col min="16138" max="16138" width="5.75" style="2591" customWidth="1"/>
    <col min="16139" max="16139" width="11.75" style="2591" customWidth="1"/>
    <col min="16140" max="16141" width="10.75" style="2591" customWidth="1"/>
    <col min="16142" max="16142" width="10" style="2591" customWidth="1"/>
    <col min="16143" max="16144" width="10.5" style="2591" bestFit="1" customWidth="1"/>
    <col min="16145" max="16145" width="10" style="2591" customWidth="1"/>
    <col min="16146" max="16146" width="10.125" style="2591" customWidth="1"/>
    <col min="16147" max="16147" width="10" style="2591" customWidth="1"/>
    <col min="16148" max="16148" width="26.125" style="2591" customWidth="1"/>
    <col min="16149" max="16384" width="8.875" style="2591"/>
  </cols>
  <sheetData>
    <row r="1" spans="1:22" ht="21" customHeight="1">
      <c r="A1" s="2580" t="s">
        <v>2438</v>
      </c>
      <c r="B1" s="2581"/>
      <c r="C1" s="2593"/>
      <c r="D1" s="2593"/>
      <c r="E1" s="2582"/>
      <c r="F1" s="2583"/>
      <c r="G1" s="2584"/>
      <c r="J1" s="2587" t="s">
        <v>2317</v>
      </c>
      <c r="K1" s="2588"/>
      <c r="L1" s="2588"/>
      <c r="M1" s="2588"/>
      <c r="N1" s="2588"/>
      <c r="O1" s="2588"/>
      <c r="P1" s="2588"/>
      <c r="Q1" s="2588"/>
      <c r="R1" s="2589"/>
      <c r="S1" s="2590"/>
      <c r="T1" s="2590"/>
      <c r="U1" s="2590"/>
    </row>
    <row r="2" spans="1:22" s="2602" customFormat="1" ht="13.15" customHeight="1">
      <c r="A2" s="1293" t="s">
        <v>2318</v>
      </c>
      <c r="B2" s="2592" t="e">
        <f>IF(D2="——",C40,C40+E2)</f>
        <v>#DIV/0!</v>
      </c>
      <c r="C2" s="2593" t="s">
        <v>2319</v>
      </c>
      <c r="D2" s="3136" t="s">
        <v>3361</v>
      </c>
      <c r="E2" s="3137"/>
      <c r="F2" s="2595"/>
      <c r="G2" s="2596"/>
      <c r="H2" s="2597"/>
      <c r="I2" s="2598"/>
      <c r="J2" s="3370" t="s">
        <v>2320</v>
      </c>
      <c r="K2" s="3371"/>
      <c r="L2" s="2599" t="s">
        <v>2321</v>
      </c>
      <c r="M2" s="2599" t="s">
        <v>2322</v>
      </c>
      <c r="N2" s="2599" t="s">
        <v>2323</v>
      </c>
      <c r="O2" s="2599" t="s">
        <v>2324</v>
      </c>
      <c r="P2" s="2599" t="s">
        <v>2325</v>
      </c>
      <c r="Q2" s="2600" t="s">
        <v>2326</v>
      </c>
      <c r="R2" s="2601" t="s">
        <v>2327</v>
      </c>
      <c r="S2" s="2590"/>
      <c r="T2" s="2590"/>
      <c r="U2" s="2590"/>
      <c r="V2" s="2598"/>
    </row>
    <row r="3" spans="1:22" s="2602" customFormat="1" ht="13.15" customHeight="1">
      <c r="A3" s="2603" t="s">
        <v>2328</v>
      </c>
      <c r="B3" s="2604" t="e">
        <f>ROUND(B2*10000/B4,0)</f>
        <v>#DIV/0!</v>
      </c>
      <c r="C3" s="2593" t="s">
        <v>2329</v>
      </c>
      <c r="D3" s="2593"/>
      <c r="E3" s="2594"/>
      <c r="F3" s="2595"/>
      <c r="G3" s="2596"/>
      <c r="H3" s="2597"/>
      <c r="I3" s="2598"/>
      <c r="J3" s="3372" t="s">
        <v>2330</v>
      </c>
      <c r="K3" s="3373"/>
      <c r="L3" s="2605"/>
      <c r="M3" s="2605"/>
      <c r="N3" s="2605"/>
      <c r="O3" s="2605"/>
      <c r="P3" s="2605"/>
      <c r="Q3" s="2606"/>
      <c r="R3" s="2607">
        <f>SUM(L3:Q3)</f>
        <v>0</v>
      </c>
      <c r="S3" s="2590"/>
      <c r="T3" s="2590"/>
      <c r="U3" s="2590"/>
      <c r="V3" s="2598"/>
    </row>
    <row r="4" spans="1:22" s="2602" customFormat="1" ht="13.15" customHeight="1">
      <c r="A4" s="2608" t="s">
        <v>2331</v>
      </c>
      <c r="B4" s="2609"/>
      <c r="C4" s="2593"/>
      <c r="D4" s="2593"/>
      <c r="E4" s="2594"/>
      <c r="F4" s="2595"/>
      <c r="G4" s="2596"/>
      <c r="H4" s="2597"/>
      <c r="I4" s="2598"/>
      <c r="J4" s="3372" t="s">
        <v>2332</v>
      </c>
      <c r="K4" s="3373"/>
      <c r="L4" s="2610"/>
      <c r="M4" s="2610"/>
      <c r="N4" s="2610"/>
      <c r="O4" s="2610"/>
      <c r="P4" s="2610"/>
      <c r="Q4" s="2611"/>
      <c r="R4" s="2612">
        <f>SUM(L4:Q4)</f>
        <v>0</v>
      </c>
      <c r="S4" s="2590"/>
      <c r="T4" s="2590"/>
      <c r="U4" s="2590"/>
      <c r="V4" s="2598"/>
    </row>
    <row r="5" spans="1:22" s="2602" customFormat="1" ht="13.15" customHeight="1" thickBot="1">
      <c r="A5" s="2613" t="s">
        <v>2333</v>
      </c>
      <c r="B5" s="2614"/>
      <c r="C5" s="2593"/>
      <c r="D5" s="2615"/>
      <c r="E5" s="2595"/>
      <c r="F5" s="2595"/>
      <c r="G5" s="2596"/>
      <c r="H5" s="2597"/>
      <c r="I5" s="2598"/>
      <c r="J5" s="2616" t="s">
        <v>2334</v>
      </c>
      <c r="K5" s="2617"/>
      <c r="L5" s="2617"/>
      <c r="M5" s="2618"/>
      <c r="N5" s="2618"/>
      <c r="O5" s="2618"/>
      <c r="P5" s="2618"/>
      <c r="Q5" s="2618"/>
      <c r="R5" s="2601">
        <f>SUM(R14,R19,R24,R25,R27,R28)</f>
        <v>0</v>
      </c>
      <c r="S5" s="2590"/>
      <c r="T5" s="2590" t="s">
        <v>2335</v>
      </c>
      <c r="U5" s="2590" t="e">
        <f>ROUND(R5*10000/365/R3,1)</f>
        <v>#DIV/0!</v>
      </c>
      <c r="V5" s="2598"/>
    </row>
    <row r="6" spans="1:22" s="2602" customFormat="1" ht="13.15" customHeight="1" thickBot="1">
      <c r="A6" s="3378" t="s">
        <v>2336</v>
      </c>
      <c r="B6" s="3379"/>
      <c r="C6" s="3380"/>
      <c r="D6" s="2619"/>
      <c r="E6" s="2620"/>
      <c r="F6" s="2621"/>
      <c r="G6" s="2622"/>
      <c r="H6" s="2597"/>
      <c r="I6" s="2598"/>
      <c r="J6" s="3364">
        <v>1</v>
      </c>
      <c r="K6" s="3365" t="s">
        <v>2337</v>
      </c>
      <c r="L6" s="2623" t="s">
        <v>2338</v>
      </c>
      <c r="M6" s="2624" t="s">
        <v>2339</v>
      </c>
      <c r="N6" s="2624" t="s">
        <v>2340</v>
      </c>
      <c r="O6" s="2624" t="s">
        <v>2341</v>
      </c>
      <c r="P6" s="2624" t="s">
        <v>2342</v>
      </c>
      <c r="Q6" s="2624" t="s">
        <v>2343</v>
      </c>
      <c r="R6" s="2607" t="s">
        <v>2344</v>
      </c>
      <c r="S6" s="2590"/>
      <c r="T6" s="2590" t="s">
        <v>2345</v>
      </c>
      <c r="U6" s="2590"/>
      <c r="V6" s="2598"/>
    </row>
    <row r="7" spans="1:22" s="2602" customFormat="1" ht="13.15" customHeight="1">
      <c r="A7" s="2625" t="s">
        <v>2346</v>
      </c>
      <c r="B7" s="2626"/>
      <c r="C7" s="2627"/>
      <c r="D7" s="2628">
        <f>SUM(D9,D10,D11,D17,0)</f>
        <v>0</v>
      </c>
      <c r="E7" s="2629" t="e">
        <f>E9+E10+E11+E17</f>
        <v>#DIV/0!</v>
      </c>
      <c r="F7" s="2630"/>
      <c r="G7" s="2631"/>
      <c r="H7" s="2597"/>
      <c r="I7" s="2598"/>
      <c r="J7" s="3364"/>
      <c r="K7" s="3366"/>
      <c r="L7" s="2632" t="s">
        <v>2347</v>
      </c>
      <c r="M7" s="2633"/>
      <c r="N7" s="2609"/>
      <c r="O7" s="2634"/>
      <c r="P7" s="2634"/>
      <c r="Q7" s="2635">
        <v>365</v>
      </c>
      <c r="R7" s="2636">
        <f>ROUND(M7*N7*O7*P7*Q7/10000,0)</f>
        <v>0</v>
      </c>
      <c r="S7" s="2590"/>
      <c r="T7" s="2590" t="s">
        <v>2348</v>
      </c>
      <c r="U7" s="2590"/>
      <c r="V7" s="2598"/>
    </row>
    <row r="8" spans="1:22" s="2602" customFormat="1" ht="13.15" customHeight="1">
      <c r="A8" s="2637" t="s">
        <v>2349</v>
      </c>
      <c r="B8" s="3381" t="s">
        <v>2350</v>
      </c>
      <c r="C8" s="3382"/>
      <c r="D8" s="2638" t="s">
        <v>2351</v>
      </c>
      <c r="E8" s="2639" t="s">
        <v>2352</v>
      </c>
      <c r="F8" s="2640" t="s">
        <v>2353</v>
      </c>
      <c r="G8" s="2641"/>
      <c r="H8" s="2597"/>
      <c r="I8" s="2598"/>
      <c r="J8" s="3364"/>
      <c r="K8" s="3366"/>
      <c r="L8" s="2632" t="s">
        <v>2354</v>
      </c>
      <c r="M8" s="2633"/>
      <c r="N8" s="2609"/>
      <c r="O8" s="2634"/>
      <c r="P8" s="2634"/>
      <c r="Q8" s="2635">
        <v>365</v>
      </c>
      <c r="R8" s="2636">
        <f t="shared" ref="R8:R13" si="0">ROUND(M8*N8*O8*P8*Q8/10000,0)</f>
        <v>0</v>
      </c>
      <c r="S8" s="2590"/>
      <c r="T8" s="2590" t="s">
        <v>2355</v>
      </c>
      <c r="U8" s="2590"/>
      <c r="V8" s="2598"/>
    </row>
    <row r="9" spans="1:22" s="2602" customFormat="1" ht="13.15" customHeight="1">
      <c r="A9" s="2637">
        <v>1</v>
      </c>
      <c r="B9" s="3381" t="s">
        <v>2356</v>
      </c>
      <c r="C9" s="3382"/>
      <c r="D9" s="2638">
        <f>ROUND(D6*E9,0)</f>
        <v>0</v>
      </c>
      <c r="E9" s="2642"/>
      <c r="F9" s="2643" t="s">
        <v>2357</v>
      </c>
      <c r="G9" s="2622"/>
      <c r="H9" s="2597"/>
      <c r="I9" s="2598"/>
      <c r="J9" s="3364"/>
      <c r="K9" s="3366"/>
      <c r="L9" s="2632" t="s">
        <v>2358</v>
      </c>
      <c r="M9" s="2633"/>
      <c r="N9" s="2609"/>
      <c r="O9" s="2634"/>
      <c r="P9" s="2634"/>
      <c r="Q9" s="2635">
        <v>365</v>
      </c>
      <c r="R9" s="2636">
        <f t="shared" si="0"/>
        <v>0</v>
      </c>
      <c r="S9" s="2590"/>
      <c r="T9" s="2590"/>
      <c r="U9" s="2590"/>
      <c r="V9" s="2598"/>
    </row>
    <row r="10" spans="1:22" s="2602" customFormat="1" ht="13.15" customHeight="1">
      <c r="A10" s="2637">
        <v>2</v>
      </c>
      <c r="B10" s="3381" t="s">
        <v>2359</v>
      </c>
      <c r="C10" s="3382"/>
      <c r="D10" s="2638">
        <f>ROUND(D6*E10,0)</f>
        <v>0</v>
      </c>
      <c r="E10" s="2642"/>
      <c r="F10" s="2643" t="s">
        <v>2360</v>
      </c>
      <c r="G10" s="2622"/>
      <c r="H10" s="2597"/>
      <c r="I10" s="2598"/>
      <c r="J10" s="3364"/>
      <c r="K10" s="3366"/>
      <c r="L10" s="2632" t="s">
        <v>2361</v>
      </c>
      <c r="M10" s="2633"/>
      <c r="N10" s="2609"/>
      <c r="O10" s="2634"/>
      <c r="P10" s="2634"/>
      <c r="Q10" s="2635">
        <v>365</v>
      </c>
      <c r="R10" s="2636">
        <f t="shared" si="0"/>
        <v>0</v>
      </c>
      <c r="S10" s="2590"/>
      <c r="T10" s="2590"/>
      <c r="U10" s="2590"/>
      <c r="V10" s="2598"/>
    </row>
    <row r="11" spans="1:22" s="2602" customFormat="1" ht="13.15" customHeight="1">
      <c r="A11" s="2637">
        <v>3</v>
      </c>
      <c r="B11" s="3381" t="s">
        <v>2362</v>
      </c>
      <c r="C11" s="3382"/>
      <c r="D11" s="2638">
        <f>D12+D14+D15+D16</f>
        <v>0</v>
      </c>
      <c r="E11" s="2644" t="e">
        <f>D11/D6</f>
        <v>#DIV/0!</v>
      </c>
      <c r="F11" s="2640"/>
      <c r="G11" s="2641"/>
      <c r="H11" s="2597"/>
      <c r="I11" s="2598"/>
      <c r="J11" s="3364"/>
      <c r="K11" s="3366"/>
      <c r="L11" s="2632" t="s">
        <v>2363</v>
      </c>
      <c r="M11" s="2633"/>
      <c r="N11" s="2609"/>
      <c r="O11" s="2634"/>
      <c r="P11" s="2634"/>
      <c r="Q11" s="2635">
        <v>365</v>
      </c>
      <c r="R11" s="2636">
        <f t="shared" si="0"/>
        <v>0</v>
      </c>
      <c r="S11" s="2590"/>
      <c r="T11" s="2590"/>
      <c r="U11" s="2590"/>
      <c r="V11" s="2598"/>
    </row>
    <row r="12" spans="1:22" s="2602" customFormat="1" ht="13.15" customHeight="1">
      <c r="A12" s="2645" t="s">
        <v>2364</v>
      </c>
      <c r="B12" s="3374" t="s">
        <v>2365</v>
      </c>
      <c r="C12" s="3375"/>
      <c r="D12" s="2646">
        <f>ROUND(D13*1.2%*(1-30%),0)</f>
        <v>0</v>
      </c>
      <c r="E12" s="2647">
        <v>1.2E-2</v>
      </c>
      <c r="F12" s="2640" t="s">
        <v>2366</v>
      </c>
      <c r="G12" s="2641"/>
      <c r="H12" s="2597"/>
      <c r="I12" s="2598"/>
      <c r="J12" s="3364"/>
      <c r="K12" s="3366"/>
      <c r="L12" s="2632" t="s">
        <v>2367</v>
      </c>
      <c r="M12" s="2633"/>
      <c r="N12" s="2609"/>
      <c r="O12" s="2634"/>
      <c r="P12" s="2634"/>
      <c r="Q12" s="2635">
        <v>365</v>
      </c>
      <c r="R12" s="2636">
        <f t="shared" si="0"/>
        <v>0</v>
      </c>
      <c r="S12" s="2590"/>
      <c r="T12" s="2590"/>
      <c r="U12" s="2590"/>
      <c r="V12" s="2598"/>
    </row>
    <row r="13" spans="1:22" s="2602" customFormat="1" ht="13.15" customHeight="1">
      <c r="A13" s="2645"/>
      <c r="B13" s="2648"/>
      <c r="C13" s="2649" t="s">
        <v>2368</v>
      </c>
      <c r="D13" s="2650"/>
      <c r="E13" s="2651"/>
      <c r="F13" s="2640"/>
      <c r="G13" s="2641"/>
      <c r="H13" s="2597"/>
      <c r="I13" s="2598"/>
      <c r="J13" s="3364"/>
      <c r="K13" s="3366"/>
      <c r="L13" s="2632" t="s">
        <v>2369</v>
      </c>
      <c r="M13" s="2633"/>
      <c r="N13" s="2609"/>
      <c r="O13" s="2634"/>
      <c r="P13" s="2634"/>
      <c r="Q13" s="2635">
        <v>365</v>
      </c>
      <c r="R13" s="2636">
        <f t="shared" si="0"/>
        <v>0</v>
      </c>
      <c r="S13" s="2590"/>
      <c r="T13" s="2590"/>
      <c r="U13" s="2590"/>
      <c r="V13" s="2598"/>
    </row>
    <row r="14" spans="1:22" s="2602" customFormat="1" ht="13.15" customHeight="1">
      <c r="A14" s="2645" t="s">
        <v>2370</v>
      </c>
      <c r="B14" s="3374" t="s">
        <v>2371</v>
      </c>
      <c r="C14" s="3375"/>
      <c r="D14" s="2646">
        <f>ROUND(E14*B5/10000,0)</f>
        <v>0</v>
      </c>
      <c r="E14" s="2635"/>
      <c r="F14" s="2640" t="s">
        <v>2372</v>
      </c>
      <c r="G14" s="2641"/>
      <c r="H14" s="2597"/>
      <c r="I14" s="2598"/>
      <c r="J14" s="3364"/>
      <c r="K14" s="3367"/>
      <c r="L14" s="2652" t="s">
        <v>2373</v>
      </c>
      <c r="M14" s="2653">
        <f>SUM(M7:M13)</f>
        <v>0</v>
      </c>
      <c r="N14" s="2653" t="e">
        <f>ROUND((N7*M7+N8*M8+N9*M9+N10*M10+N11*M11+N12*M12+N13*M13)/M14,0)</f>
        <v>#DIV/0!</v>
      </c>
      <c r="O14" s="2654"/>
      <c r="P14" s="2654"/>
      <c r="Q14" s="2655"/>
      <c r="R14" s="2601">
        <f>SUM(R7:R13)</f>
        <v>0</v>
      </c>
      <c r="S14" s="2590"/>
      <c r="T14" s="2590"/>
      <c r="U14" s="2590"/>
      <c r="V14" s="2598"/>
    </row>
    <row r="15" spans="1:22" s="2602" customFormat="1" ht="13.15" customHeight="1">
      <c r="A15" s="2645" t="s">
        <v>2374</v>
      </c>
      <c r="B15" s="3374" t="s">
        <v>2375</v>
      </c>
      <c r="C15" s="3375"/>
      <c r="D15" s="2646">
        <f>ROUND(D6*E15,0)</f>
        <v>0</v>
      </c>
      <c r="E15" s="2647">
        <v>5.5E-2</v>
      </c>
      <c r="F15" s="2640" t="s">
        <v>2376</v>
      </c>
      <c r="G15" s="2622"/>
      <c r="H15" s="2597"/>
      <c r="I15" s="2598"/>
      <c r="J15" s="3364">
        <v>2</v>
      </c>
      <c r="K15" s="3365" t="s">
        <v>2377</v>
      </c>
      <c r="L15" s="2632" t="s">
        <v>2378</v>
      </c>
      <c r="M15" s="2633" t="s">
        <v>2379</v>
      </c>
      <c r="N15" s="2633" t="s">
        <v>2380</v>
      </c>
      <c r="O15" s="2634" t="s">
        <v>2381</v>
      </c>
      <c r="P15" s="2634" t="s">
        <v>2343</v>
      </c>
      <c r="Q15" s="2609" t="s">
        <v>2382</v>
      </c>
      <c r="R15" s="2656" t="s">
        <v>2344</v>
      </c>
      <c r="S15" s="2590"/>
      <c r="T15" s="2590"/>
      <c r="U15" s="2590"/>
      <c r="V15" s="2598"/>
    </row>
    <row r="16" spans="1:22" s="2602" customFormat="1" ht="13.15" customHeight="1">
      <c r="A16" s="2645" t="s">
        <v>2383</v>
      </c>
      <c r="B16" s="3374" t="s">
        <v>2384</v>
      </c>
      <c r="C16" s="3375"/>
      <c r="D16" s="2657">
        <f>D6*E16</f>
        <v>0</v>
      </c>
      <c r="E16" s="2658"/>
      <c r="F16" s="2643" t="s">
        <v>2385</v>
      </c>
      <c r="G16" s="2622"/>
      <c r="H16" s="2597"/>
      <c r="I16" s="2598"/>
      <c r="J16" s="3364"/>
      <c r="K16" s="3366"/>
      <c r="L16" s="2632" t="s">
        <v>2386</v>
      </c>
      <c r="M16" s="2633"/>
      <c r="N16" s="2633"/>
      <c r="O16" s="2634"/>
      <c r="P16" s="2635">
        <v>365</v>
      </c>
      <c r="Q16" s="2609"/>
      <c r="R16" s="2656">
        <f>ROUND(M16*N16*O16*P16/10000,0)</f>
        <v>0</v>
      </c>
      <c r="S16" s="2590"/>
      <c r="T16" s="2590"/>
      <c r="U16" s="2590"/>
      <c r="V16" s="2598"/>
    </row>
    <row r="17" spans="1:22" s="2602" customFormat="1" ht="13.15" customHeight="1" thickBot="1">
      <c r="A17" s="2659">
        <v>4</v>
      </c>
      <c r="B17" s="3376" t="s">
        <v>2387</v>
      </c>
      <c r="C17" s="3377"/>
      <c r="D17" s="2660">
        <f>ROUND(D6*E17,0)</f>
        <v>0</v>
      </c>
      <c r="E17" s="2661"/>
      <c r="F17" s="2662" t="s">
        <v>2388</v>
      </c>
      <c r="G17" s="2622"/>
      <c r="H17" s="2597"/>
      <c r="I17" s="2598"/>
      <c r="J17" s="3364"/>
      <c r="K17" s="3366"/>
      <c r="L17" s="2632" t="s">
        <v>2389</v>
      </c>
      <c r="M17" s="2633"/>
      <c r="N17" s="2633"/>
      <c r="O17" s="2634"/>
      <c r="P17" s="2635">
        <v>365</v>
      </c>
      <c r="Q17" s="2609"/>
      <c r="R17" s="2656">
        <f>ROUND(M17*N17*O17*P17/10000,0)</f>
        <v>0</v>
      </c>
      <c r="S17" s="2590"/>
      <c r="T17" s="2590"/>
      <c r="U17" s="2590"/>
      <c r="V17" s="2598"/>
    </row>
    <row r="18" spans="1:22" s="2602" customFormat="1" ht="13.15" customHeight="1" thickBot="1">
      <c r="A18" s="2625" t="s">
        <v>2390</v>
      </c>
      <c r="B18" s="2626"/>
      <c r="C18" s="2626"/>
      <c r="D18" s="2663">
        <f>ROUND(D6*E18,0)</f>
        <v>0</v>
      </c>
      <c r="E18" s="2664"/>
      <c r="F18" s="2665" t="s">
        <v>2391</v>
      </c>
      <c r="G18" s="2622"/>
      <c r="H18" s="2597"/>
      <c r="I18" s="2598"/>
      <c r="J18" s="3364"/>
      <c r="K18" s="3366"/>
      <c r="L18" s="2632" t="s">
        <v>2392</v>
      </c>
      <c r="M18" s="2633"/>
      <c r="N18" s="2633"/>
      <c r="O18" s="2634"/>
      <c r="P18" s="2635">
        <v>365</v>
      </c>
      <c r="Q18" s="2609"/>
      <c r="R18" s="2656">
        <f>ROUND(M18*N18*O18*P18/10000,0)</f>
        <v>0</v>
      </c>
      <c r="S18" s="2590"/>
      <c r="T18" s="2590"/>
      <c r="U18" s="2590"/>
      <c r="V18" s="2598"/>
    </row>
    <row r="19" spans="1:22" s="2602" customFormat="1" ht="13.15" customHeight="1" thickBot="1">
      <c r="A19" s="2666" t="s">
        <v>2393</v>
      </c>
      <c r="B19" s="2620"/>
      <c r="C19" s="2620"/>
      <c r="D19" s="2620"/>
      <c r="E19" s="2620"/>
      <c r="F19" s="2621"/>
      <c r="G19" s="2641"/>
      <c r="H19" s="2597"/>
      <c r="I19" s="2598"/>
      <c r="J19" s="3364"/>
      <c r="K19" s="3367"/>
      <c r="L19" s="2652" t="s">
        <v>2373</v>
      </c>
      <c r="M19" s="2653"/>
      <c r="N19" s="2653">
        <f>SUM(N16:N18)</f>
        <v>0</v>
      </c>
      <c r="O19" s="2654"/>
      <c r="P19" s="2667" t="s">
        <v>2437</v>
      </c>
      <c r="Q19" s="2634">
        <v>0</v>
      </c>
      <c r="R19" s="2668">
        <f>ROUND(IF(P19="按比例",R14*Q19,SUM(R16:R18)),0)</f>
        <v>0</v>
      </c>
      <c r="S19" s="2590"/>
      <c r="T19" s="2590"/>
      <c r="U19" s="2590"/>
      <c r="V19" s="2598"/>
    </row>
    <row r="20" spans="1:22" s="2602" customFormat="1" ht="13.15" customHeight="1">
      <c r="A20" s="2625"/>
      <c r="B20" s="2626"/>
      <c r="C20" s="2626"/>
      <c r="D20" s="2626"/>
      <c r="E20" s="2626"/>
      <c r="F20" s="2669"/>
      <c r="G20" s="2641"/>
      <c r="H20" s="2597"/>
      <c r="I20" s="2598"/>
      <c r="J20" s="3364">
        <v>3</v>
      </c>
      <c r="K20" s="3365" t="s">
        <v>2394</v>
      </c>
      <c r="L20" s="2632" t="s">
        <v>2395</v>
      </c>
      <c r="M20" s="2633" t="s">
        <v>2396</v>
      </c>
      <c r="N20" s="2670" t="s">
        <v>2397</v>
      </c>
      <c r="O20" s="2634" t="s">
        <v>2398</v>
      </c>
      <c r="P20" s="2635" t="s">
        <v>2399</v>
      </c>
      <c r="Q20" s="2609" t="s">
        <v>2400</v>
      </c>
      <c r="R20" s="2656" t="s">
        <v>2401</v>
      </c>
      <c r="S20" s="2590"/>
      <c r="T20" s="2590"/>
      <c r="U20" s="2590"/>
      <c r="V20" s="2598"/>
    </row>
    <row r="21" spans="1:22" s="2602" customFormat="1" ht="13.15" customHeight="1">
      <c r="A21" s="2625"/>
      <c r="B21" s="2626"/>
      <c r="C21" s="2671" t="s">
        <v>2402</v>
      </c>
      <c r="D21" s="2672" t="s">
        <v>2403</v>
      </c>
      <c r="E21" s="2673" t="s">
        <v>2404</v>
      </c>
      <c r="F21" s="2669"/>
      <c r="G21" s="2641"/>
      <c r="H21" s="2597"/>
      <c r="I21" s="2598"/>
      <c r="J21" s="3364"/>
      <c r="K21" s="3366"/>
      <c r="L21" s="2632" t="s">
        <v>2405</v>
      </c>
      <c r="M21" s="2633"/>
      <c r="N21" s="2633"/>
      <c r="O21" s="2634"/>
      <c r="P21" s="2635">
        <v>365</v>
      </c>
      <c r="Q21" s="2609"/>
      <c r="R21" s="2674">
        <f>ROUND(M21*N21*O21*P21/10000,0)</f>
        <v>0</v>
      </c>
      <c r="S21" s="2590"/>
      <c r="T21" s="2590"/>
      <c r="U21" s="2590"/>
      <c r="V21" s="2598"/>
    </row>
    <row r="22" spans="1:22" s="2602" customFormat="1" ht="13.15" customHeight="1">
      <c r="A22" s="2625"/>
      <c r="B22" s="2626"/>
      <c r="C22" s="2675" t="s">
        <v>2406</v>
      </c>
      <c r="D22" s="2676" t="s">
        <v>2407</v>
      </c>
      <c r="E22" s="2677" t="s">
        <v>2408</v>
      </c>
      <c r="F22" s="2669"/>
      <c r="G22" s="2590"/>
      <c r="H22" s="2597"/>
      <c r="I22" s="2598"/>
      <c r="J22" s="3364"/>
      <c r="K22" s="3366"/>
      <c r="L22" s="2632" t="s">
        <v>2409</v>
      </c>
      <c r="M22" s="2633"/>
      <c r="N22" s="2633"/>
      <c r="O22" s="2634"/>
      <c r="P22" s="2635">
        <v>365</v>
      </c>
      <c r="Q22" s="2609"/>
      <c r="R22" s="2674">
        <f>ROUND(M22*N22*O22*P22/10000,0)</f>
        <v>0</v>
      </c>
      <c r="S22" s="2590"/>
      <c r="T22" s="2590"/>
      <c r="U22" s="2590"/>
      <c r="V22" s="2598"/>
    </row>
    <row r="23" spans="1:22" s="2602" customFormat="1" ht="13.15" customHeight="1">
      <c r="A23" s="2678">
        <v>1</v>
      </c>
      <c r="B23" s="2679" t="s">
        <v>2410</v>
      </c>
      <c r="C23" s="2680">
        <f>D6</f>
        <v>0</v>
      </c>
      <c r="D23" s="2681">
        <f>C23*(1+D24)</f>
        <v>0</v>
      </c>
      <c r="E23" s="2682">
        <f>D23*(1+E24)</f>
        <v>0</v>
      </c>
      <c r="F23" s="2683"/>
      <c r="G23" s="2684"/>
      <c r="H23" s="2597"/>
      <c r="I23" s="2598"/>
      <c r="J23" s="3364"/>
      <c r="K23" s="3366"/>
      <c r="L23" s="2632" t="s">
        <v>2411</v>
      </c>
      <c r="M23" s="2633"/>
      <c r="N23" s="2633"/>
      <c r="O23" s="2634"/>
      <c r="P23" s="2635">
        <v>365</v>
      </c>
      <c r="Q23" s="2609"/>
      <c r="R23" s="2674">
        <f>ROUND(M23*N23*O23*P23/10000,0)</f>
        <v>0</v>
      </c>
      <c r="S23" s="2590"/>
      <c r="T23" s="2590"/>
      <c r="U23" s="2590"/>
      <c r="V23" s="2598"/>
    </row>
    <row r="24" spans="1:22" s="2602" customFormat="1" ht="13.15" customHeight="1">
      <c r="A24" s="2685"/>
      <c r="B24" s="2686" t="s">
        <v>2412</v>
      </c>
      <c r="C24" s="2687"/>
      <c r="D24" s="2688"/>
      <c r="E24" s="2689"/>
      <c r="F24" s="2690"/>
      <c r="G24" s="2684"/>
      <c r="H24" s="2597"/>
      <c r="I24" s="2598"/>
      <c r="J24" s="3364"/>
      <c r="K24" s="3367"/>
      <c r="L24" s="2652" t="s">
        <v>2373</v>
      </c>
      <c r="M24" s="2653">
        <f>SUM(M21:M23)</f>
        <v>0</v>
      </c>
      <c r="N24" s="2653"/>
      <c r="O24" s="2654"/>
      <c r="P24" s="2667" t="s">
        <v>2437</v>
      </c>
      <c r="Q24" s="2634">
        <v>0</v>
      </c>
      <c r="R24" s="2668">
        <f>ROUND(IF(P24="按比例",R14*Q24,SUM(R21:R23)),0)</f>
        <v>0</v>
      </c>
      <c r="S24" s="2590"/>
      <c r="T24" s="2590"/>
      <c r="U24" s="2590"/>
      <c r="V24" s="2598"/>
    </row>
    <row r="25" spans="1:22" s="2697" customFormat="1" ht="13.15" customHeight="1">
      <c r="A25" s="2685"/>
      <c r="B25" s="2686"/>
      <c r="C25" s="2687"/>
      <c r="D25" s="2688"/>
      <c r="E25" s="2689"/>
      <c r="F25" s="2690"/>
      <c r="G25" s="2590"/>
      <c r="H25" s="2597"/>
      <c r="I25" s="2598"/>
      <c r="J25" s="2691">
        <v>4</v>
      </c>
      <c r="K25" s="2692" t="s">
        <v>2413</v>
      </c>
      <c r="L25" s="2693"/>
      <c r="M25" s="2693"/>
      <c r="N25" s="2693"/>
      <c r="O25" s="2693"/>
      <c r="P25" s="2694"/>
      <c r="Q25" s="2695">
        <v>0</v>
      </c>
      <c r="R25" s="2668">
        <f>ROUND(R14*Q25,0)</f>
        <v>0</v>
      </c>
      <c r="S25" s="2590"/>
      <c r="T25" s="2590"/>
      <c r="U25" s="2590"/>
      <c r="V25" s="2696"/>
    </row>
    <row r="26" spans="1:22" s="2697" customFormat="1" ht="13.15" customHeight="1">
      <c r="A26" s="2678">
        <v>2</v>
      </c>
      <c r="B26" s="2679" t="s">
        <v>2414</v>
      </c>
      <c r="C26" s="2680">
        <f>D7</f>
        <v>0</v>
      </c>
      <c r="D26" s="2681">
        <f>D23*D27</f>
        <v>0</v>
      </c>
      <c r="E26" s="2682">
        <f>E23*E27</f>
        <v>0</v>
      </c>
      <c r="F26" s="2683"/>
      <c r="G26" s="2684"/>
      <c r="H26" s="2597"/>
      <c r="I26" s="2598"/>
      <c r="J26" s="3368">
        <v>5</v>
      </c>
      <c r="K26" s="2698" t="s">
        <v>2415</v>
      </c>
      <c r="L26" s="2699"/>
      <c r="M26" s="2700"/>
      <c r="N26" s="2701" t="s">
        <v>2416</v>
      </c>
      <c r="O26" s="2701" t="s">
        <v>2417</v>
      </c>
      <c r="P26" s="2702" t="s">
        <v>2418</v>
      </c>
      <c r="Q26" s="2702" t="s">
        <v>2419</v>
      </c>
      <c r="R26" s="2607" t="s">
        <v>2344</v>
      </c>
      <c r="S26" s="2641"/>
      <c r="T26" s="2641"/>
      <c r="U26" s="2641"/>
      <c r="V26" s="2696"/>
    </row>
    <row r="27" spans="1:22" s="2602" customFormat="1" ht="13.15" customHeight="1">
      <c r="A27" s="2685"/>
      <c r="B27" s="2686" t="s">
        <v>2420</v>
      </c>
      <c r="C27" s="2703" t="e">
        <f>E7</f>
        <v>#DIV/0!</v>
      </c>
      <c r="D27" s="2688"/>
      <c r="E27" s="2689"/>
      <c r="F27" s="2690"/>
      <c r="G27" s="2684"/>
      <c r="H27" s="2704"/>
      <c r="I27" s="2696"/>
      <c r="J27" s="3369"/>
      <c r="K27" s="2705"/>
      <c r="L27" s="2706"/>
      <c r="M27" s="2707"/>
      <c r="N27" s="2708"/>
      <c r="O27" s="2708"/>
      <c r="P27" s="2708"/>
      <c r="Q27" s="2709"/>
      <c r="R27" s="2668">
        <f>ROUND(O27*N27*P27*(1-Q27)/10000,0)</f>
        <v>0</v>
      </c>
      <c r="S27" s="2590"/>
      <c r="T27" s="2590"/>
      <c r="U27" s="2590"/>
      <c r="V27" s="2598"/>
    </row>
    <row r="28" spans="1:22" s="2697" customFormat="1" ht="13.15" customHeight="1" thickBot="1">
      <c r="A28" s="2685"/>
      <c r="B28" s="2686"/>
      <c r="C28" s="2703"/>
      <c r="D28" s="2688"/>
      <c r="E28" s="2689" t="s">
        <v>2421</v>
      </c>
      <c r="F28" s="2690"/>
      <c r="G28" s="2590"/>
      <c r="H28" s="2704"/>
      <c r="I28" s="2696"/>
      <c r="J28" s="2710">
        <v>6</v>
      </c>
      <c r="K28" s="2711" t="s">
        <v>2422</v>
      </c>
      <c r="L28" s="2712" t="s">
        <v>2423</v>
      </c>
      <c r="M28" s="2713"/>
      <c r="N28" s="2712" t="s">
        <v>2424</v>
      </c>
      <c r="O28" s="2714"/>
      <c r="P28" s="2712" t="s">
        <v>2425</v>
      </c>
      <c r="Q28" s="2715">
        <v>1.4999999999999999E-2</v>
      </c>
      <c r="R28" s="2716"/>
      <c r="S28" s="2590"/>
      <c r="T28" s="2590"/>
      <c r="U28" s="2590"/>
      <c r="V28" s="2696"/>
    </row>
    <row r="29" spans="1:22" s="2697" customFormat="1" ht="13.15" customHeight="1">
      <c r="A29" s="2678">
        <v>3</v>
      </c>
      <c r="B29" s="2679" t="s">
        <v>2426</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15" customHeight="1" thickBot="1">
      <c r="A30" s="2685"/>
      <c r="B30" s="2686" t="s">
        <v>2420</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15" customHeight="1">
      <c r="A31" s="2685"/>
      <c r="B31" s="2686"/>
      <c r="C31" s="2718"/>
      <c r="D31" s="2717"/>
      <c r="E31" s="2651"/>
      <c r="F31" s="2690"/>
      <c r="G31" s="2590"/>
      <c r="H31" s="2704"/>
      <c r="I31" s="2696"/>
      <c r="J31" s="2587" t="s">
        <v>2427</v>
      </c>
      <c r="K31" s="2588"/>
      <c r="L31" s="2588"/>
      <c r="M31" s="2588"/>
      <c r="N31" s="2588"/>
      <c r="O31" s="2588"/>
      <c r="P31" s="2588"/>
      <c r="Q31" s="2588"/>
      <c r="R31" s="2589"/>
      <c r="S31" s="2590"/>
      <c r="T31" s="2590"/>
      <c r="U31" s="2590"/>
      <c r="V31" s="2696"/>
    </row>
    <row r="32" spans="1:22" s="2697" customFormat="1" ht="13.15" customHeight="1">
      <c r="A32" s="2678">
        <v>4</v>
      </c>
      <c r="B32" s="2679" t="s">
        <v>2428</v>
      </c>
      <c r="C32" s="2680">
        <f>C23-C26-C29</f>
        <v>0</v>
      </c>
      <c r="D32" s="2681">
        <f>D23-D26-D29</f>
        <v>0</v>
      </c>
      <c r="E32" s="2682">
        <f>E23-E26-E29</f>
        <v>0</v>
      </c>
      <c r="F32" s="2683"/>
      <c r="G32" s="2590"/>
      <c r="H32" s="2597"/>
      <c r="I32" s="2598"/>
      <c r="J32" s="3370" t="s">
        <v>2320</v>
      </c>
      <c r="K32" s="3371"/>
      <c r="L32" s="2599" t="s">
        <v>2321</v>
      </c>
      <c r="M32" s="2599" t="s">
        <v>2322</v>
      </c>
      <c r="N32" s="2599" t="s">
        <v>2323</v>
      </c>
      <c r="O32" s="2599" t="s">
        <v>2324</v>
      </c>
      <c r="P32" s="2599" t="s">
        <v>2325</v>
      </c>
      <c r="Q32" s="2600" t="s">
        <v>2326</v>
      </c>
      <c r="R32" s="2719" t="s">
        <v>2327</v>
      </c>
      <c r="S32" s="2590"/>
      <c r="T32" s="2590"/>
      <c r="U32" s="2590"/>
      <c r="V32" s="2696"/>
    </row>
    <row r="33" spans="1:23" s="2602" customFormat="1" ht="13.15" customHeight="1">
      <c r="A33" s="2678"/>
      <c r="B33" s="2679"/>
      <c r="C33" s="2680"/>
      <c r="D33" s="2720"/>
      <c r="E33" s="2721"/>
      <c r="F33" s="2683"/>
      <c r="G33" s="2590"/>
      <c r="H33" s="2704"/>
      <c r="I33" s="2696"/>
      <c r="J33" s="3372" t="s">
        <v>2330</v>
      </c>
      <c r="K33" s="3373"/>
      <c r="L33" s="2605"/>
      <c r="M33" s="2605"/>
      <c r="N33" s="2605"/>
      <c r="O33" s="2605"/>
      <c r="P33" s="2605"/>
      <c r="Q33" s="2606"/>
      <c r="R33" s="2722">
        <f>SUM(L33:Q33)</f>
        <v>0</v>
      </c>
      <c r="S33" s="2590"/>
      <c r="T33" s="2590"/>
      <c r="U33" s="2590"/>
      <c r="V33" s="2598"/>
    </row>
    <row r="34" spans="1:23" s="2602" customFormat="1" ht="13.15" customHeight="1">
      <c r="A34" s="2678">
        <v>5</v>
      </c>
      <c r="B34" s="2679" t="s">
        <v>2429</v>
      </c>
      <c r="C34" s="2723"/>
      <c r="D34" s="2724"/>
      <c r="E34" s="2725"/>
      <c r="F34" s="2683"/>
      <c r="G34" s="2590"/>
      <c r="H34" s="2704"/>
      <c r="I34" s="2696"/>
      <c r="J34" s="3372" t="s">
        <v>2332</v>
      </c>
      <c r="K34" s="3373"/>
      <c r="L34" s="2610"/>
      <c r="M34" s="2610"/>
      <c r="N34" s="2610"/>
      <c r="O34" s="2610"/>
      <c r="P34" s="2610"/>
      <c r="Q34" s="2611"/>
      <c r="R34" s="2726">
        <f>SUM(L34:Q34)</f>
        <v>0</v>
      </c>
      <c r="S34" s="2590"/>
      <c r="T34" s="2590"/>
      <c r="U34" s="2590" t="e">
        <f>ROUND(R35*10000/365/R33,1)</f>
        <v>#DIV/0!</v>
      </c>
      <c r="V34" s="2598"/>
    </row>
    <row r="35" spans="1:23" s="2602" customFormat="1" ht="13.15" customHeight="1">
      <c r="A35" s="2678">
        <v>6</v>
      </c>
      <c r="B35" s="2679" t="s">
        <v>2430</v>
      </c>
      <c r="C35" s="2727"/>
      <c r="D35" s="2728"/>
      <c r="E35" s="2729"/>
      <c r="F35" s="2683"/>
      <c r="G35" s="2730"/>
      <c r="H35" s="2597"/>
      <c r="I35" s="2696"/>
      <c r="J35" s="2616" t="s">
        <v>2334</v>
      </c>
      <c r="K35" s="2617"/>
      <c r="L35" s="2617"/>
      <c r="M35" s="2618"/>
      <c r="N35" s="2618"/>
      <c r="O35" s="2618"/>
      <c r="P35" s="2618"/>
      <c r="Q35" s="2618"/>
      <c r="R35" s="2731">
        <f>R40+R41+R43</f>
        <v>0</v>
      </c>
      <c r="S35" s="2590"/>
      <c r="T35" s="2590" t="s">
        <v>2335</v>
      </c>
      <c r="U35" s="2590"/>
      <c r="V35" s="2598"/>
    </row>
    <row r="36" spans="1:23" s="2602" customFormat="1" ht="13.15" customHeight="1" thickBot="1">
      <c r="A36" s="2678">
        <v>7</v>
      </c>
      <c r="B36" s="2732" t="s">
        <v>2431</v>
      </c>
      <c r="C36" s="2733"/>
      <c r="D36" s="2734"/>
      <c r="E36" s="2735"/>
      <c r="F36" s="2736">
        <f>C36+D36+E36</f>
        <v>0</v>
      </c>
      <c r="G36" s="2590"/>
      <c r="H36" s="2597"/>
      <c r="I36" s="2598"/>
      <c r="J36" s="3364">
        <v>1</v>
      </c>
      <c r="K36" s="3365" t="s">
        <v>2432</v>
      </c>
      <c r="L36" s="2623"/>
      <c r="M36" s="2624"/>
      <c r="N36" s="2624"/>
      <c r="O36" s="2624"/>
      <c r="P36" s="2624"/>
      <c r="Q36" s="2624"/>
      <c r="R36" s="2607" t="s">
        <v>2344</v>
      </c>
      <c r="S36" s="2590"/>
      <c r="T36" s="2590" t="s">
        <v>2345</v>
      </c>
      <c r="U36" s="2590"/>
      <c r="V36" s="2598"/>
    </row>
    <row r="37" spans="1:23" s="2602" customFormat="1" ht="13.15" customHeight="1">
      <c r="A37" s="2678"/>
      <c r="B37" s="2679"/>
      <c r="C37" s="2679"/>
      <c r="D37" s="2679"/>
      <c r="E37" s="2679"/>
      <c r="F37" s="2683"/>
      <c r="G37" s="2590"/>
      <c r="H37" s="2597"/>
      <c r="I37" s="2598"/>
      <c r="J37" s="3364"/>
      <c r="K37" s="3366"/>
      <c r="L37" s="2632"/>
      <c r="M37" s="2633"/>
      <c r="N37" s="2609"/>
      <c r="O37" s="2634"/>
      <c r="P37" s="2634"/>
      <c r="Q37" s="2635"/>
      <c r="R37" s="2636"/>
      <c r="S37" s="2590"/>
      <c r="T37" s="2590" t="s">
        <v>2348</v>
      </c>
      <c r="U37" s="2590"/>
      <c r="V37" s="2598"/>
    </row>
    <row r="38" spans="1:23" s="2602" customFormat="1" ht="13.15" customHeight="1">
      <c r="A38" s="2678">
        <v>8</v>
      </c>
      <c r="B38" s="2679"/>
      <c r="C38" s="2638" t="e">
        <f>ROUND(C32*(1-((1+C35)/(1+C34))^C36)/(C34-C35),0)</f>
        <v>#DIV/0!</v>
      </c>
      <c r="D38" s="2638">
        <f>IF(D23=0,0,ROUND(D32*(1-((1+D35)/(1+D34))^D36)/(D34-D35),0))</f>
        <v>0</v>
      </c>
      <c r="E38" s="2638">
        <f>IF(E23=0,0,ROUND(E32*(1-((1+E35)/(1+E34))^E36)/(E34-E35),0))</f>
        <v>0</v>
      </c>
      <c r="F38" s="2683"/>
      <c r="G38" s="2590"/>
      <c r="H38" s="2597"/>
      <c r="I38" s="2598"/>
      <c r="J38" s="3364"/>
      <c r="K38" s="3366"/>
      <c r="L38" s="2632"/>
      <c r="M38" s="2633"/>
      <c r="N38" s="2609"/>
      <c r="O38" s="2634"/>
      <c r="P38" s="2634"/>
      <c r="Q38" s="2635"/>
      <c r="R38" s="2636"/>
      <c r="S38" s="2590"/>
      <c r="T38" s="2590" t="s">
        <v>2355</v>
      </c>
      <c r="U38" s="2590"/>
      <c r="V38" s="2598"/>
    </row>
    <row r="39" spans="1:23" s="2602" customFormat="1" ht="13.15" customHeight="1">
      <c r="A39" s="2678">
        <v>9</v>
      </c>
      <c r="B39" s="2679" t="s">
        <v>2433</v>
      </c>
      <c r="C39" s="2646" t="e">
        <f>C38</f>
        <v>#DIV/0!</v>
      </c>
      <c r="D39" s="2679">
        <f>D38/(1+D34)^C36</f>
        <v>0</v>
      </c>
      <c r="E39" s="2679">
        <f>E38/(1+E34)^(C36+D36)</f>
        <v>0</v>
      </c>
      <c r="F39" s="2683"/>
      <c r="G39" s="2598"/>
      <c r="H39" s="2597"/>
      <c r="I39" s="2598"/>
      <c r="J39" s="3364"/>
      <c r="K39" s="3366"/>
      <c r="L39" s="2632"/>
      <c r="M39" s="2633"/>
      <c r="N39" s="2609"/>
      <c r="O39" s="2634"/>
      <c r="P39" s="2634"/>
      <c r="Q39" s="2635"/>
      <c r="R39" s="2636"/>
      <c r="S39" s="2590"/>
      <c r="T39" s="2590"/>
      <c r="U39" s="2590"/>
      <c r="V39" s="2598"/>
    </row>
    <row r="40" spans="1:23" s="2602" customFormat="1" ht="13.15" customHeight="1">
      <c r="A40" s="2737">
        <v>10</v>
      </c>
      <c r="B40" s="2679" t="s">
        <v>2434</v>
      </c>
      <c r="C40" s="2738" t="e">
        <f>C39+D39+E39</f>
        <v>#DIV/0!</v>
      </c>
      <c r="D40" s="2739"/>
      <c r="E40" s="2739"/>
      <c r="F40" s="2740"/>
      <c r="G40" s="2590"/>
      <c r="H40" s="2597"/>
      <c r="I40" s="2598"/>
      <c r="J40" s="3364"/>
      <c r="K40" s="3367"/>
      <c r="L40" s="2652" t="s">
        <v>2373</v>
      </c>
      <c r="M40" s="2653"/>
      <c r="N40" s="2653"/>
      <c r="O40" s="2654"/>
      <c r="P40" s="2654"/>
      <c r="Q40" s="2655"/>
      <c r="R40" s="2601">
        <f>SUM(R37:R39)</f>
        <v>0</v>
      </c>
      <c r="S40" s="2590"/>
      <c r="T40" s="2590"/>
      <c r="U40" s="2590"/>
      <c r="V40" s="2598"/>
    </row>
    <row r="41" spans="1:23" s="2602" customFormat="1" ht="13.15" customHeight="1" thickBot="1">
      <c r="A41" s="2741">
        <v>11</v>
      </c>
      <c r="B41" s="2742" t="s">
        <v>2435</v>
      </c>
      <c r="C41" s="2742" t="e">
        <f>ROUND(C40*10000/B4,0)</f>
        <v>#DIV/0!</v>
      </c>
      <c r="D41" s="2743"/>
      <c r="E41" s="2743"/>
      <c r="F41" s="2744"/>
      <c r="G41" s="2597"/>
      <c r="H41" s="2597"/>
      <c r="I41" s="2598"/>
      <c r="J41" s="2691">
        <v>2</v>
      </c>
      <c r="K41" s="2692" t="s">
        <v>2413</v>
      </c>
      <c r="L41" s="2693"/>
      <c r="M41" s="2693"/>
      <c r="N41" s="2693"/>
      <c r="O41" s="2693"/>
      <c r="P41" s="2694"/>
      <c r="Q41" s="2695"/>
      <c r="R41" s="2668">
        <f>ROUND(R40*Q41,0)</f>
        <v>0</v>
      </c>
      <c r="S41" s="2590"/>
      <c r="T41" s="2590"/>
      <c r="U41" s="2641"/>
      <c r="V41" s="2598"/>
    </row>
    <row r="42" spans="1:23" s="2602" customFormat="1" ht="13.15" customHeight="1">
      <c r="G42" s="2597"/>
      <c r="H42" s="2597"/>
      <c r="I42" s="2598"/>
      <c r="J42" s="3368">
        <v>3</v>
      </c>
      <c r="K42" s="2698" t="s">
        <v>2415</v>
      </c>
      <c r="L42" s="2699"/>
      <c r="M42" s="2700"/>
      <c r="N42" s="2701" t="s">
        <v>2416</v>
      </c>
      <c r="O42" s="2701" t="s">
        <v>2417</v>
      </c>
      <c r="P42" s="2702" t="s">
        <v>2418</v>
      </c>
      <c r="Q42" s="2702" t="s">
        <v>2419</v>
      </c>
      <c r="R42" s="2607" t="s">
        <v>2344</v>
      </c>
      <c r="S42" s="2641"/>
      <c r="T42" s="2641"/>
      <c r="U42" s="2590"/>
      <c r="V42" s="2598"/>
    </row>
    <row r="43" spans="1:23" ht="13.15" customHeight="1">
      <c r="A43" s="2602"/>
      <c r="B43" s="2602"/>
      <c r="C43" s="2602"/>
      <c r="D43" s="2602"/>
      <c r="E43" s="2602"/>
      <c r="F43" s="2602"/>
      <c r="I43" s="2585"/>
      <c r="J43" s="3369"/>
      <c r="K43" s="2705"/>
      <c r="L43" s="2706"/>
      <c r="M43" s="2707"/>
      <c r="N43" s="2633"/>
      <c r="O43" s="2633"/>
      <c r="P43" s="2633"/>
      <c r="Q43" s="2695"/>
      <c r="R43" s="2668">
        <f>ROUND(O43*N43*P43*(1-Q43)/10000,0)</f>
        <v>0</v>
      </c>
      <c r="S43" s="2590"/>
      <c r="T43" s="2590"/>
      <c r="V43" s="2745"/>
      <c r="W43" s="2746"/>
    </row>
    <row r="44" spans="1:23" ht="13.15" customHeight="1" thickBot="1">
      <c r="J44" s="2710">
        <v>6</v>
      </c>
      <c r="K44" s="2711" t="s">
        <v>2422</v>
      </c>
      <c r="L44" s="2747" t="s">
        <v>2423</v>
      </c>
      <c r="M44" s="2713"/>
      <c r="N44" s="2747" t="s">
        <v>2424</v>
      </c>
      <c r="O44" s="2713"/>
      <c r="P44" s="2747" t="s">
        <v>2425</v>
      </c>
      <c r="Q44" s="2715">
        <v>1.4999999999999999E-2</v>
      </c>
      <c r="R44" s="271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78"/>
      <c r="G1" s="459"/>
      <c r="H1" s="459"/>
      <c r="I1" s="459"/>
      <c r="J1" s="459"/>
      <c r="K1" s="459"/>
      <c r="L1" s="459"/>
      <c r="M1" s="459"/>
      <c r="N1" s="459"/>
      <c r="O1" s="459"/>
      <c r="P1" s="459"/>
      <c r="Q1" s="459"/>
      <c r="R1" s="459"/>
      <c r="S1" s="459"/>
    </row>
    <row r="2" spans="1:22" ht="15.75">
      <c r="A2" s="1728" t="s">
        <v>1462</v>
      </c>
      <c r="B2" s="811">
        <f ca="1">SUMIF(B6:B13,"&lt;&gt;#ref!",B6:B13)</f>
        <v>25.989899999999999</v>
      </c>
      <c r="C2" s="1729" t="s">
        <v>1651</v>
      </c>
      <c r="D2" s="1730" t="s">
        <v>1652</v>
      </c>
      <c r="E2" s="2392">
        <f>SUM(E6:E13)</f>
        <v>69.63</v>
      </c>
      <c r="F2" s="2478"/>
      <c r="G2" s="459"/>
      <c r="H2" s="459"/>
      <c r="I2" s="459"/>
      <c r="J2" s="459"/>
      <c r="K2" s="459"/>
      <c r="L2" s="459"/>
      <c r="M2" s="459"/>
      <c r="N2" s="459"/>
      <c r="O2" s="459"/>
      <c r="P2" s="459"/>
      <c r="Q2" s="459"/>
      <c r="R2" s="459"/>
      <c r="S2" s="459"/>
    </row>
    <row r="3" spans="1:22" ht="15.75">
      <c r="A3" s="1728" t="s">
        <v>686</v>
      </c>
      <c r="B3" s="2386">
        <f ca="1">ROUND(B2*10000/E2,0)</f>
        <v>3733</v>
      </c>
      <c r="C3" s="1729"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8" t="s">
        <v>1653</v>
      </c>
      <c r="B5" s="3383" t="s">
        <v>1654</v>
      </c>
      <c r="C5" s="3384"/>
      <c r="D5" s="2479"/>
      <c r="E5" s="1731" t="s">
        <v>1655</v>
      </c>
      <c r="F5" s="129" t="s">
        <v>1656</v>
      </c>
      <c r="G5" s="459"/>
      <c r="H5" s="459"/>
      <c r="I5" s="459"/>
      <c r="J5" s="459"/>
      <c r="K5" s="459"/>
      <c r="L5" s="459"/>
      <c r="M5" s="459"/>
      <c r="N5" s="459"/>
      <c r="O5" s="459"/>
      <c r="P5" s="459"/>
      <c r="Q5" s="459"/>
      <c r="R5" s="459"/>
      <c r="S5" s="459"/>
    </row>
    <row r="6" spans="1:22">
      <c r="A6" s="2389" t="str">
        <f>'数据-取费表'!AN6</f>
        <v>收益法 (元)</v>
      </c>
      <c r="B6" s="2387">
        <f ca="1">IF(F6="是",'数据-取费表'!AO6,0)</f>
        <v>25.989899999999999</v>
      </c>
      <c r="C6" s="1729" t="s">
        <v>1651</v>
      </c>
      <c r="D6" s="2478"/>
      <c r="E6" s="2391">
        <f>IF(OR(A6=0,F6="否"),0,'数据-取费表'!K6+'数据-取费表'!S6)</f>
        <v>69.63</v>
      </c>
      <c r="F6" s="1732"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9" t="s">
        <v>1651</v>
      </c>
      <c r="D7" s="2478"/>
      <c r="E7" s="2391">
        <f>IF(OR(A7=0,F7="否"),0,'数据-取费表'!K7+'数据-取费表'!S7)</f>
        <v>0</v>
      </c>
      <c r="F7" s="1732"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9" t="s">
        <v>1651</v>
      </c>
      <c r="D8" s="2478"/>
      <c r="E8" s="2391">
        <f>IF(OR(A8=0,F8="否"),0,'数据-取费表'!K8+'数据-取费表'!S8)</f>
        <v>0</v>
      </c>
      <c r="F8" s="1732"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9" t="s">
        <v>1651</v>
      </c>
      <c r="D9" s="2478"/>
      <c r="E9" s="2391">
        <f>IF(OR(A9=0,F9="否"),0,'数据-取费表'!K9+'数据-取费表'!S9)</f>
        <v>0</v>
      </c>
      <c r="F9" s="1732"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9" t="s">
        <v>1651</v>
      </c>
      <c r="D10" s="2478"/>
      <c r="E10" s="2391">
        <f>IF(OR(A10=0,F10="否"),0,'数据-取费表'!K10+'数据-取费表'!S10)</f>
        <v>0</v>
      </c>
      <c r="F10" s="1732"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9" t="s">
        <v>1651</v>
      </c>
      <c r="D11" s="2478"/>
      <c r="E11" s="2391">
        <f>IF(OR(A11=0,F11="否"),0,'数据-取费表'!K11+'数据-取费表'!S11)</f>
        <v>0</v>
      </c>
      <c r="F11" s="1732"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9" t="s">
        <v>1651</v>
      </c>
      <c r="D12" s="2478"/>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0"/>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2"/>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3"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69.63</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5">
      <c r="A4" s="345" t="s">
        <v>1666</v>
      </c>
      <c r="B4" s="346"/>
      <c r="C4" s="3403" t="s">
        <v>1667</v>
      </c>
      <c r="D4" s="3404"/>
      <c r="E4" s="3405" t="s">
        <v>1668</v>
      </c>
      <c r="F4" s="3406"/>
      <c r="G4" s="3403" t="s">
        <v>1669</v>
      </c>
      <c r="H4" s="3404"/>
      <c r="I4" s="3403" t="s">
        <v>1670</v>
      </c>
      <c r="J4" s="3404"/>
      <c r="K4" s="1744" t="s">
        <v>1671</v>
      </c>
      <c r="L4" s="2485"/>
      <c r="M4" s="2486"/>
      <c r="N4" s="2486"/>
      <c r="O4" s="2486"/>
      <c r="P4" s="3407" t="s">
        <v>1672</v>
      </c>
      <c r="Q4" s="3408"/>
      <c r="R4" s="3413" t="s">
        <v>1668</v>
      </c>
      <c r="S4" s="3414"/>
      <c r="T4" s="3413" t="s">
        <v>1669</v>
      </c>
      <c r="U4" s="3414"/>
      <c r="V4" s="3389" t="s">
        <v>1670</v>
      </c>
      <c r="W4" s="3389"/>
      <c r="X4" s="1265"/>
      <c r="Y4" s="3413" t="s">
        <v>1672</v>
      </c>
      <c r="Z4" s="3414"/>
      <c r="AA4" s="3400" t="s">
        <v>1668</v>
      </c>
      <c r="AB4" s="3400" t="s">
        <v>1669</v>
      </c>
      <c r="AC4" s="3400" t="s">
        <v>1670</v>
      </c>
    </row>
    <row r="5" spans="1:29" ht="15">
      <c r="A5" s="348"/>
      <c r="B5" s="349"/>
      <c r="C5" s="3421" t="s">
        <v>1673</v>
      </c>
      <c r="D5" s="3422"/>
      <c r="E5" s="3428" t="s">
        <v>1674</v>
      </c>
      <c r="F5" s="3429"/>
      <c r="G5" s="3421" t="s">
        <v>1675</v>
      </c>
      <c r="H5" s="3422"/>
      <c r="I5" s="3421" t="s">
        <v>1676</v>
      </c>
      <c r="J5" s="3422"/>
      <c r="K5" s="1745"/>
      <c r="L5" s="2485"/>
      <c r="M5" s="2486"/>
      <c r="N5" s="2486"/>
      <c r="O5" s="2486"/>
      <c r="P5" s="3409"/>
      <c r="Q5" s="3410"/>
      <c r="R5" s="3415"/>
      <c r="S5" s="3416"/>
      <c r="T5" s="3415"/>
      <c r="U5" s="3416"/>
      <c r="V5" s="3389"/>
      <c r="W5" s="3389"/>
      <c r="X5" s="1265"/>
      <c r="Y5" s="3415"/>
      <c r="Z5" s="3416"/>
      <c r="AA5" s="3401"/>
      <c r="AB5" s="3401"/>
      <c r="AC5" s="3401"/>
    </row>
    <row r="6" spans="1:29" ht="15.75" thickBot="1">
      <c r="A6" s="350"/>
      <c r="B6" s="351"/>
      <c r="C6" s="3419" t="s">
        <v>1677</v>
      </c>
      <c r="D6" s="3420"/>
      <c r="E6" s="3426" t="s">
        <v>1677</v>
      </c>
      <c r="F6" s="3427"/>
      <c r="G6" s="3419" t="s">
        <v>1677</v>
      </c>
      <c r="H6" s="3420"/>
      <c r="I6" s="3419" t="s">
        <v>1677</v>
      </c>
      <c r="J6" s="3420"/>
      <c r="K6" s="1745" t="s">
        <v>1678</v>
      </c>
      <c r="L6" s="2485"/>
      <c r="M6" s="2486"/>
      <c r="N6" s="2486"/>
      <c r="O6" s="2486"/>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45247</v>
      </c>
      <c r="D7" s="355">
        <v>100</v>
      </c>
      <c r="E7" s="356"/>
      <c r="F7" s="357">
        <f>SUMIF(58:58,YEAR(E7)&amp;"-"&amp;MONTH(E7),59:59)</f>
        <v>0</v>
      </c>
      <c r="G7" s="356"/>
      <c r="H7" s="355">
        <f>SUMIF(58:58,YEAR(G7)&amp;"-"&amp;MONTH(G7),59:59)</f>
        <v>0</v>
      </c>
      <c r="I7" s="356"/>
      <c r="J7" s="355">
        <f>SUMIF(58:58,YEAR(I7)&amp;"-"&amp;MONTH(I7),59:59)</f>
        <v>0</v>
      </c>
      <c r="K7" s="1746"/>
      <c r="L7" s="2487"/>
      <c r="M7" s="2438"/>
      <c r="N7" s="2438"/>
      <c r="O7" s="2438"/>
      <c r="P7" s="3423" t="s">
        <v>1680</v>
      </c>
      <c r="Q7" s="3425"/>
      <c r="R7" s="664" t="s">
        <v>20</v>
      </c>
      <c r="S7" s="665">
        <f t="shared" ref="S7:S15" si="0">F7</f>
        <v>0</v>
      </c>
      <c r="T7" s="664" t="s">
        <v>20</v>
      </c>
      <c r="U7" s="665">
        <f t="shared" ref="U7:U15" si="1">H7</f>
        <v>0</v>
      </c>
      <c r="V7" s="664" t="s">
        <v>20</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8"/>
      <c r="N8" s="2438"/>
      <c r="O8" s="2438"/>
      <c r="P8" s="3423" t="s">
        <v>1683</v>
      </c>
      <c r="Q8" s="3424"/>
      <c r="R8" s="664" t="s">
        <v>20</v>
      </c>
      <c r="S8" s="665">
        <f t="shared" si="0"/>
        <v>100</v>
      </c>
      <c r="T8" s="664" t="s">
        <v>20</v>
      </c>
      <c r="U8" s="665">
        <f t="shared" si="1"/>
        <v>100</v>
      </c>
      <c r="V8" s="664" t="s">
        <v>20</v>
      </c>
      <c r="W8" s="665">
        <f t="shared" si="2"/>
        <v>100</v>
      </c>
      <c r="X8" s="666"/>
      <c r="Y8" s="3423" t="s">
        <v>1683</v>
      </c>
      <c r="Z8" s="3424"/>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8"/>
      <c r="N9" s="2438"/>
      <c r="O9" s="2438"/>
      <c r="P9" s="3399"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7">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6"/>
      <c r="L10" s="2488"/>
      <c r="M10" s="2489"/>
      <c r="N10" s="2489"/>
      <c r="O10" s="2489"/>
      <c r="P10" s="3399"/>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99"/>
      <c r="Q11" s="530" t="str">
        <f t="shared" si="6"/>
        <v>容积率</v>
      </c>
      <c r="R11" s="664" t="s">
        <v>18</v>
      </c>
      <c r="S11" s="665" t="e">
        <f t="shared" si="0"/>
        <v>#N/A</v>
      </c>
      <c r="T11" s="664" t="s">
        <v>18</v>
      </c>
      <c r="U11" s="665" t="e">
        <f t="shared" si="1"/>
        <v>#N/A</v>
      </c>
      <c r="V11" s="664" t="s">
        <v>18</v>
      </c>
      <c r="W11" s="665" t="e">
        <f t="shared" si="2"/>
        <v>#N/A</v>
      </c>
      <c r="X11" s="666"/>
      <c r="Y11" s="326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8"/>
      <c r="N12" s="2438"/>
      <c r="O12" s="2438"/>
      <c r="P12" s="3399"/>
      <c r="Q12" s="530">
        <f t="shared" si="6"/>
        <v>111</v>
      </c>
      <c r="R12" s="664" t="s">
        <v>18</v>
      </c>
      <c r="S12" s="665">
        <f t="shared" si="0"/>
        <v>100</v>
      </c>
      <c r="T12" s="664" t="s">
        <v>18</v>
      </c>
      <c r="U12" s="665">
        <f t="shared" si="1"/>
        <v>100</v>
      </c>
      <c r="V12" s="664" t="s">
        <v>18</v>
      </c>
      <c r="W12" s="665">
        <f t="shared" si="2"/>
        <v>100</v>
      </c>
      <c r="X12" s="666"/>
      <c r="Y12" s="326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399"/>
      <c r="Q13" s="530">
        <f t="shared" si="6"/>
        <v>111</v>
      </c>
      <c r="R13" s="664" t="s">
        <v>18</v>
      </c>
      <c r="S13" s="665">
        <f t="shared" si="0"/>
        <v>100</v>
      </c>
      <c r="T13" s="664" t="s">
        <v>18</v>
      </c>
      <c r="U13" s="665">
        <f t="shared" si="1"/>
        <v>100</v>
      </c>
      <c r="V13" s="664" t="s">
        <v>18</v>
      </c>
      <c r="W13" s="665">
        <f t="shared" si="2"/>
        <v>100</v>
      </c>
      <c r="X13" s="666"/>
      <c r="Y13" s="3263"/>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399"/>
      <c r="Q14" s="530">
        <f t="shared" si="6"/>
        <v>111</v>
      </c>
      <c r="R14" s="664" t="s">
        <v>18</v>
      </c>
      <c r="S14" s="665">
        <f t="shared" si="0"/>
        <v>100</v>
      </c>
      <c r="T14" s="664" t="s">
        <v>18</v>
      </c>
      <c r="U14" s="665">
        <f t="shared" si="1"/>
        <v>100</v>
      </c>
      <c r="V14" s="664" t="s">
        <v>18</v>
      </c>
      <c r="W14" s="665">
        <f t="shared" si="2"/>
        <v>100</v>
      </c>
      <c r="X14" s="666"/>
      <c r="Y14" s="3263"/>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397" t="s">
        <v>1691</v>
      </c>
      <c r="Q15" s="1263" t="str">
        <f t="shared" si="6"/>
        <v>居住社区成熟度</v>
      </c>
      <c r="R15" s="667" t="s">
        <v>18</v>
      </c>
      <c r="S15" s="668">
        <f t="shared" si="0"/>
        <v>100</v>
      </c>
      <c r="T15" s="667" t="s">
        <v>18</v>
      </c>
      <c r="U15" s="668">
        <f t="shared" si="1"/>
        <v>100</v>
      </c>
      <c r="V15" s="667" t="s">
        <v>18</v>
      </c>
      <c r="W15" s="668">
        <f t="shared" si="2"/>
        <v>100</v>
      </c>
      <c r="X15" s="1265"/>
      <c r="Y15" s="3390"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398"/>
      <c r="Q16" s="1263"/>
      <c r="R16" s="667"/>
      <c r="S16" s="668"/>
      <c r="T16" s="667"/>
      <c r="U16" s="668"/>
      <c r="V16" s="667"/>
      <c r="W16" s="668"/>
      <c r="X16" s="1265"/>
      <c r="Y16" s="3391"/>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398"/>
      <c r="Q17" s="1263" t="str">
        <f>B17</f>
        <v>交通便捷度</v>
      </c>
      <c r="R17" s="667" t="s">
        <v>18</v>
      </c>
      <c r="S17" s="668">
        <f>F17</f>
        <v>100</v>
      </c>
      <c r="T17" s="667" t="s">
        <v>18</v>
      </c>
      <c r="U17" s="668">
        <f>H17</f>
        <v>100</v>
      </c>
      <c r="V17" s="667" t="s">
        <v>18</v>
      </c>
      <c r="W17" s="668">
        <f>J17</f>
        <v>100</v>
      </c>
      <c r="X17" s="1265"/>
      <c r="Y17" s="3391"/>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398"/>
      <c r="Q18" s="1263"/>
      <c r="R18" s="667"/>
      <c r="S18" s="668"/>
      <c r="T18" s="667"/>
      <c r="U18" s="668"/>
      <c r="V18" s="667"/>
      <c r="W18" s="668"/>
      <c r="X18" s="1265"/>
      <c r="Y18" s="3391"/>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398"/>
      <c r="Q19" s="1263" t="str">
        <f>B19</f>
        <v>公共配套设施</v>
      </c>
      <c r="R19" s="667" t="s">
        <v>18</v>
      </c>
      <c r="S19" s="668">
        <f>F19</f>
        <v>100</v>
      </c>
      <c r="T19" s="667" t="s">
        <v>18</v>
      </c>
      <c r="U19" s="668">
        <f>H19</f>
        <v>100</v>
      </c>
      <c r="V19" s="667" t="s">
        <v>18</v>
      </c>
      <c r="W19" s="668">
        <f>J19</f>
        <v>100</v>
      </c>
      <c r="X19" s="1265"/>
      <c r="Y19" s="3391"/>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398"/>
      <c r="Q20" s="1263"/>
      <c r="R20" s="667"/>
      <c r="S20" s="668"/>
      <c r="T20" s="667"/>
      <c r="U20" s="668"/>
      <c r="V20" s="667"/>
      <c r="W20" s="668"/>
      <c r="X20" s="1265"/>
      <c r="Y20" s="3391"/>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398"/>
      <c r="Q21" s="1263" t="str">
        <f>B21</f>
        <v>基础设施水平</v>
      </c>
      <c r="R21" s="667" t="s">
        <v>14</v>
      </c>
      <c r="S21" s="668">
        <f>F21</f>
        <v>100</v>
      </c>
      <c r="T21" s="667" t="s">
        <v>14</v>
      </c>
      <c r="U21" s="668">
        <f>H21</f>
        <v>100</v>
      </c>
      <c r="V21" s="667" t="s">
        <v>14</v>
      </c>
      <c r="W21" s="668">
        <f>J21</f>
        <v>100</v>
      </c>
      <c r="X21" s="1265"/>
      <c r="Y21" s="339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398"/>
      <c r="Q22" s="1263"/>
      <c r="R22" s="667"/>
      <c r="S22" s="668"/>
      <c r="T22" s="667"/>
      <c r="U22" s="668"/>
      <c r="V22" s="667"/>
      <c r="W22" s="668"/>
      <c r="X22" s="1265"/>
      <c r="Y22" s="3391"/>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398"/>
      <c r="Q23" s="1263" t="str">
        <f>B23</f>
        <v>自然及人文环境</v>
      </c>
      <c r="R23" s="667" t="s">
        <v>18</v>
      </c>
      <c r="S23" s="668">
        <f>F23</f>
        <v>100</v>
      </c>
      <c r="T23" s="667" t="s">
        <v>18</v>
      </c>
      <c r="U23" s="668">
        <f>H23</f>
        <v>100</v>
      </c>
      <c r="V23" s="667" t="s">
        <v>18</v>
      </c>
      <c r="W23" s="668">
        <f>J23</f>
        <v>100</v>
      </c>
      <c r="X23" s="1265"/>
      <c r="Y23" s="3391"/>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398"/>
      <c r="Q24" s="1263"/>
      <c r="R24" s="667"/>
      <c r="S24" s="668"/>
      <c r="T24" s="667"/>
      <c r="U24" s="668"/>
      <c r="V24" s="667"/>
      <c r="W24" s="668"/>
      <c r="X24" s="1265"/>
      <c r="Y24" s="3391"/>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398"/>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91"/>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398"/>
      <c r="Q26" s="1263" t="str">
        <f t="shared" si="11"/>
        <v>朝向</v>
      </c>
      <c r="R26" s="667" t="s">
        <v>18</v>
      </c>
      <c r="S26" s="668">
        <f t="shared" si="12"/>
        <v>100</v>
      </c>
      <c r="T26" s="667" t="s">
        <v>18</v>
      </c>
      <c r="U26" s="668">
        <f t="shared" si="13"/>
        <v>100</v>
      </c>
      <c r="V26" s="667" t="s">
        <v>18</v>
      </c>
      <c r="W26" s="668">
        <f t="shared" si="14"/>
        <v>100</v>
      </c>
      <c r="X26" s="1265"/>
      <c r="Y26" s="3391"/>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8"/>
      <c r="N27" s="2438"/>
      <c r="O27" s="2438"/>
      <c r="P27" s="3398"/>
      <c r="Q27" s="530">
        <f t="shared" si="11"/>
        <v>111</v>
      </c>
      <c r="R27" s="664" t="s">
        <v>18</v>
      </c>
      <c r="S27" s="665">
        <f t="shared" si="12"/>
        <v>100</v>
      </c>
      <c r="T27" s="664" t="s">
        <v>18</v>
      </c>
      <c r="U27" s="665">
        <f t="shared" si="13"/>
        <v>100</v>
      </c>
      <c r="V27" s="664" t="s">
        <v>18</v>
      </c>
      <c r="W27" s="665">
        <f t="shared" si="14"/>
        <v>100</v>
      </c>
      <c r="X27" s="666"/>
      <c r="Y27" s="3391"/>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398"/>
      <c r="Q28" s="1263">
        <f t="shared" si="11"/>
        <v>111</v>
      </c>
      <c r="R28" s="667" t="s">
        <v>18</v>
      </c>
      <c r="S28" s="668">
        <f t="shared" si="12"/>
        <v>100</v>
      </c>
      <c r="T28" s="667" t="s">
        <v>18</v>
      </c>
      <c r="U28" s="668">
        <f t="shared" si="13"/>
        <v>100</v>
      </c>
      <c r="V28" s="667" t="s">
        <v>18</v>
      </c>
      <c r="W28" s="668">
        <f t="shared" si="14"/>
        <v>100</v>
      </c>
      <c r="X28" s="1265"/>
      <c r="Y28" s="3391"/>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398"/>
      <c r="Q29" s="1263">
        <f t="shared" si="11"/>
        <v>111</v>
      </c>
      <c r="R29" s="667" t="s">
        <v>18</v>
      </c>
      <c r="S29" s="668">
        <f t="shared" si="12"/>
        <v>100</v>
      </c>
      <c r="T29" s="667" t="s">
        <v>18</v>
      </c>
      <c r="U29" s="668">
        <f t="shared" si="13"/>
        <v>100</v>
      </c>
      <c r="V29" s="667" t="s">
        <v>18</v>
      </c>
      <c r="W29" s="668">
        <f t="shared" si="14"/>
        <v>100</v>
      </c>
      <c r="X29" s="1265"/>
      <c r="Y29" s="3391"/>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398"/>
      <c r="Q30" s="1263">
        <f t="shared" si="11"/>
        <v>111</v>
      </c>
      <c r="R30" s="667" t="s">
        <v>18</v>
      </c>
      <c r="S30" s="668">
        <f t="shared" si="12"/>
        <v>100</v>
      </c>
      <c r="T30" s="667" t="s">
        <v>18</v>
      </c>
      <c r="U30" s="668">
        <f t="shared" si="13"/>
        <v>100</v>
      </c>
      <c r="V30" s="667" t="s">
        <v>18</v>
      </c>
      <c r="W30" s="668">
        <f t="shared" si="14"/>
        <v>100</v>
      </c>
      <c r="X30" s="1265"/>
      <c r="Y30" s="3391"/>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398"/>
      <c r="Q31" s="1263">
        <f t="shared" si="11"/>
        <v>111</v>
      </c>
      <c r="R31" s="667" t="s">
        <v>18</v>
      </c>
      <c r="S31" s="668">
        <f t="shared" si="12"/>
        <v>100</v>
      </c>
      <c r="T31" s="667" t="s">
        <v>18</v>
      </c>
      <c r="U31" s="668">
        <f t="shared" si="13"/>
        <v>100</v>
      </c>
      <c r="V31" s="667" t="s">
        <v>18</v>
      </c>
      <c r="W31" s="668">
        <f t="shared" si="14"/>
        <v>100</v>
      </c>
      <c r="X31" s="1265"/>
      <c r="Y31" s="3391"/>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392" t="s">
        <v>1696</v>
      </c>
      <c r="Q32" s="1263" t="str">
        <f t="shared" si="11"/>
        <v>建筑类型</v>
      </c>
      <c r="R32" s="667" t="s">
        <v>18</v>
      </c>
      <c r="S32" s="668">
        <f t="shared" si="12"/>
        <v>100</v>
      </c>
      <c r="T32" s="667" t="s">
        <v>18</v>
      </c>
      <c r="U32" s="668">
        <f t="shared" si="13"/>
        <v>100</v>
      </c>
      <c r="V32" s="667" t="s">
        <v>18</v>
      </c>
      <c r="W32" s="668">
        <f t="shared" si="14"/>
        <v>100</v>
      </c>
      <c r="X32" s="1265"/>
      <c r="Y32" s="3395"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393"/>
      <c r="Q33" s="531" t="str">
        <f t="shared" si="11"/>
        <v>项目建筑规模</v>
      </c>
      <c r="R33" s="669" t="s">
        <v>18</v>
      </c>
      <c r="S33" s="670" t="e">
        <f t="shared" si="12"/>
        <v>#N/A</v>
      </c>
      <c r="T33" s="669" t="s">
        <v>18</v>
      </c>
      <c r="U33" s="670" t="e">
        <f t="shared" si="13"/>
        <v>#N/A</v>
      </c>
      <c r="V33" s="669" t="s">
        <v>18</v>
      </c>
      <c r="W33" s="670" t="e">
        <f t="shared" si="14"/>
        <v>#N/A</v>
      </c>
      <c r="X33" s="671"/>
      <c r="Y33" s="3395"/>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393"/>
      <c r="Q34" s="1263" t="str">
        <f t="shared" si="11"/>
        <v>建筑结构</v>
      </c>
      <c r="R34" s="667" t="s">
        <v>18</v>
      </c>
      <c r="S34" s="668">
        <f t="shared" si="12"/>
        <v>100</v>
      </c>
      <c r="T34" s="667" t="s">
        <v>18</v>
      </c>
      <c r="U34" s="668">
        <f t="shared" si="13"/>
        <v>100</v>
      </c>
      <c r="V34" s="667" t="s">
        <v>18</v>
      </c>
      <c r="W34" s="668">
        <f t="shared" si="14"/>
        <v>100</v>
      </c>
      <c r="X34" s="1265"/>
      <c r="Y34" s="3395"/>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393"/>
      <c r="Q35" s="1263" t="str">
        <f t="shared" si="11"/>
        <v>建筑品质</v>
      </c>
      <c r="R35" s="667" t="s">
        <v>18</v>
      </c>
      <c r="S35" s="668">
        <f t="shared" si="12"/>
        <v>100</v>
      </c>
      <c r="T35" s="667" t="s">
        <v>18</v>
      </c>
      <c r="U35" s="668">
        <f t="shared" si="13"/>
        <v>100</v>
      </c>
      <c r="V35" s="667" t="s">
        <v>18</v>
      </c>
      <c r="W35" s="668">
        <f t="shared" si="14"/>
        <v>100</v>
      </c>
      <c r="X35" s="1265"/>
      <c r="Y35" s="3395"/>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393"/>
      <c r="Q36" s="1263" t="str">
        <f t="shared" si="11"/>
        <v>公共部分装修</v>
      </c>
      <c r="R36" s="667" t="s">
        <v>18</v>
      </c>
      <c r="S36" s="668">
        <f t="shared" si="12"/>
        <v>100</v>
      </c>
      <c r="T36" s="667" t="s">
        <v>18</v>
      </c>
      <c r="U36" s="668">
        <f t="shared" si="13"/>
        <v>100</v>
      </c>
      <c r="V36" s="667" t="s">
        <v>18</v>
      </c>
      <c r="W36" s="668">
        <f t="shared" si="14"/>
        <v>100</v>
      </c>
      <c r="X36" s="1265"/>
      <c r="Y36" s="3395"/>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393"/>
      <c r="Q37" s="530" t="str">
        <f t="shared" si="11"/>
        <v>成新度</v>
      </c>
      <c r="R37" s="664" t="s">
        <v>18</v>
      </c>
      <c r="S37" s="665" t="e">
        <f t="shared" si="12"/>
        <v>#N/A</v>
      </c>
      <c r="T37" s="664" t="s">
        <v>18</v>
      </c>
      <c r="U37" s="665" t="e">
        <f t="shared" si="13"/>
        <v>#N/A</v>
      </c>
      <c r="V37" s="664" t="s">
        <v>18</v>
      </c>
      <c r="W37" s="665" t="e">
        <f t="shared" si="14"/>
        <v>#N/A</v>
      </c>
      <c r="X37" s="666"/>
      <c r="Y37" s="3395"/>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393" t="s">
        <v>1696</v>
      </c>
      <c r="Q38" s="1263" t="str">
        <f t="shared" si="11"/>
        <v>物业管理</v>
      </c>
      <c r="R38" s="667" t="s">
        <v>18</v>
      </c>
      <c r="S38" s="668">
        <f t="shared" si="12"/>
        <v>100</v>
      </c>
      <c r="T38" s="667" t="s">
        <v>18</v>
      </c>
      <c r="U38" s="668">
        <f t="shared" si="13"/>
        <v>100</v>
      </c>
      <c r="V38" s="667" t="s">
        <v>18</v>
      </c>
      <c r="W38" s="668">
        <f t="shared" si="14"/>
        <v>100</v>
      </c>
      <c r="X38" s="1265"/>
      <c r="Y38" s="3395"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393"/>
      <c r="Q39" s="1263" t="str">
        <f t="shared" si="11"/>
        <v>市政基础设施</v>
      </c>
      <c r="R39" s="667" t="s">
        <v>18</v>
      </c>
      <c r="S39" s="668">
        <f t="shared" si="12"/>
        <v>100</v>
      </c>
      <c r="T39" s="667" t="s">
        <v>18</v>
      </c>
      <c r="U39" s="668">
        <f t="shared" si="13"/>
        <v>100</v>
      </c>
      <c r="V39" s="667" t="s">
        <v>18</v>
      </c>
      <c r="W39" s="668">
        <f t="shared" si="14"/>
        <v>100</v>
      </c>
      <c r="X39" s="1265"/>
      <c r="Y39" s="3395"/>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393"/>
      <c r="Q40" s="1263" t="str">
        <f t="shared" si="11"/>
        <v>房型</v>
      </c>
      <c r="R40" s="667" t="s">
        <v>18</v>
      </c>
      <c r="S40" s="668">
        <f t="shared" si="12"/>
        <v>100</v>
      </c>
      <c r="T40" s="667" t="s">
        <v>18</v>
      </c>
      <c r="U40" s="668">
        <f t="shared" si="13"/>
        <v>100</v>
      </c>
      <c r="V40" s="667" t="s">
        <v>18</v>
      </c>
      <c r="W40" s="668">
        <f t="shared" si="14"/>
        <v>100</v>
      </c>
      <c r="X40" s="1265"/>
      <c r="Y40" s="3395"/>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393"/>
      <c r="Q41" s="531" t="str">
        <f t="shared" si="11"/>
        <v>单套/主力户型建筑面积</v>
      </c>
      <c r="R41" s="669" t="s">
        <v>18</v>
      </c>
      <c r="S41" s="670">
        <f t="shared" si="12"/>
        <v>100</v>
      </c>
      <c r="T41" s="669" t="s">
        <v>18</v>
      </c>
      <c r="U41" s="670">
        <f t="shared" si="13"/>
        <v>100</v>
      </c>
      <c r="V41" s="669" t="s">
        <v>18</v>
      </c>
      <c r="W41" s="670">
        <f t="shared" si="14"/>
        <v>100</v>
      </c>
      <c r="X41" s="671"/>
      <c r="Y41" s="3395"/>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393"/>
      <c r="Q42" s="1263" t="str">
        <f t="shared" si="11"/>
        <v>内部装修</v>
      </c>
      <c r="R42" s="667" t="s">
        <v>18</v>
      </c>
      <c r="S42" s="668">
        <f t="shared" si="12"/>
        <v>100</v>
      </c>
      <c r="T42" s="667" t="s">
        <v>18</v>
      </c>
      <c r="U42" s="668">
        <f t="shared" si="13"/>
        <v>100</v>
      </c>
      <c r="V42" s="667" t="s">
        <v>18</v>
      </c>
      <c r="W42" s="668">
        <f t="shared" si="14"/>
        <v>100</v>
      </c>
      <c r="X42" s="1265"/>
      <c r="Y42" s="3395"/>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393"/>
      <c r="Q43" s="1263" t="str">
        <f t="shared" si="11"/>
        <v>内部装修维护情况</v>
      </c>
      <c r="R43" s="667" t="s">
        <v>18</v>
      </c>
      <c r="S43" s="668">
        <f t="shared" si="12"/>
        <v>100</v>
      </c>
      <c r="T43" s="667" t="s">
        <v>18</v>
      </c>
      <c r="U43" s="668">
        <f t="shared" si="13"/>
        <v>100</v>
      </c>
      <c r="V43" s="667" t="s">
        <v>18</v>
      </c>
      <c r="W43" s="668">
        <f t="shared" si="14"/>
        <v>100</v>
      </c>
      <c r="X43" s="1265"/>
      <c r="Y43" s="3395"/>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8"/>
      <c r="N44" s="2438"/>
      <c r="O44" s="2438"/>
      <c r="P44" s="3393"/>
      <c r="Q44" s="530">
        <f t="shared" si="11"/>
        <v>111</v>
      </c>
      <c r="R44" s="664" t="s">
        <v>18</v>
      </c>
      <c r="S44" s="665">
        <f t="shared" si="12"/>
        <v>100</v>
      </c>
      <c r="T44" s="664" t="s">
        <v>18</v>
      </c>
      <c r="U44" s="665">
        <f t="shared" si="13"/>
        <v>100</v>
      </c>
      <c r="V44" s="664" t="s">
        <v>18</v>
      </c>
      <c r="W44" s="665">
        <f t="shared" si="14"/>
        <v>100</v>
      </c>
      <c r="X44" s="666"/>
      <c r="Y44" s="3395"/>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393"/>
      <c r="Q45" s="1263">
        <f t="shared" si="11"/>
        <v>111</v>
      </c>
      <c r="R45" s="667" t="s">
        <v>18</v>
      </c>
      <c r="S45" s="668">
        <f t="shared" si="12"/>
        <v>100</v>
      </c>
      <c r="T45" s="667" t="s">
        <v>18</v>
      </c>
      <c r="U45" s="668">
        <f t="shared" si="13"/>
        <v>100</v>
      </c>
      <c r="V45" s="667" t="s">
        <v>18</v>
      </c>
      <c r="W45" s="668">
        <f t="shared" si="14"/>
        <v>100</v>
      </c>
      <c r="X45" s="1265"/>
      <c r="Y45" s="3395"/>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394"/>
      <c r="Q46" s="1263">
        <f t="shared" si="11"/>
        <v>111</v>
      </c>
      <c r="R46" s="667" t="s">
        <v>17</v>
      </c>
      <c r="S46" s="668">
        <f t="shared" si="12"/>
        <v>100</v>
      </c>
      <c r="T46" s="667" t="s">
        <v>17</v>
      </c>
      <c r="U46" s="668">
        <f t="shared" si="13"/>
        <v>100</v>
      </c>
      <c r="V46" s="667" t="s">
        <v>17</v>
      </c>
      <c r="W46" s="668">
        <f t="shared" si="14"/>
        <v>100</v>
      </c>
      <c r="X46" s="1265"/>
      <c r="Y46" s="3396"/>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3"/>
      <c r="M47" s="2486"/>
      <c r="N47" s="2486"/>
      <c r="O47" s="2486"/>
      <c r="P47" s="3388" t="str">
        <f>A47</f>
        <v>成交单价（元/平方米）</v>
      </c>
      <c r="Q47" s="3388"/>
      <c r="R47" s="3389">
        <f>E47</f>
        <v>0</v>
      </c>
      <c r="S47" s="3389"/>
      <c r="T47" s="3389">
        <f>G47</f>
        <v>0</v>
      </c>
      <c r="U47" s="3389"/>
      <c r="V47" s="3389">
        <f>I47</f>
        <v>0</v>
      </c>
      <c r="W47" s="3389"/>
      <c r="X47" s="385"/>
      <c r="Y47" s="673"/>
      <c r="Z47" s="385"/>
      <c r="AA47" s="385"/>
      <c r="AB47" s="385"/>
      <c r="AC47" s="385"/>
    </row>
    <row r="48" spans="1:29" ht="15.75" thickBot="1">
      <c r="A48" s="423" t="s">
        <v>1709</v>
      </c>
      <c r="B48" s="424"/>
      <c r="C48" s="1082" t="e">
        <f>R49</f>
        <v>#DIV/0!</v>
      </c>
      <c r="D48" s="2140" t="s">
        <v>2138</v>
      </c>
      <c r="E48" s="1083" t="e">
        <f>R48</f>
        <v>#DIV/0!</v>
      </c>
      <c r="F48" s="2141"/>
      <c r="G48" s="1082" t="e">
        <f>T48</f>
        <v>#DIV/0!</v>
      </c>
      <c r="H48" s="2141"/>
      <c r="I48" s="1083" t="e">
        <f>V48</f>
        <v>#DIV/0!</v>
      </c>
      <c r="J48" s="2141"/>
      <c r="K48" s="2142">
        <f>F48+H48+J48</f>
        <v>0</v>
      </c>
      <c r="L48" s="2493"/>
      <c r="M48" s="2486"/>
      <c r="N48" s="2486"/>
      <c r="O48" s="2486"/>
      <c r="P48" s="3388" t="str">
        <f>A48</f>
        <v>比较价值（元/平方米）</v>
      </c>
      <c r="Q48" s="3388"/>
      <c r="R48" s="3389" t="e">
        <f>IF(F1="售价",ROUND(PRODUCT(R47,AA7:AA46),0),ROUND(PRODUCT(R47,AA7:AA46),1))</f>
        <v>#DIV/0!</v>
      </c>
      <c r="S48" s="3389"/>
      <c r="T48" s="3389" t="e">
        <f>IF(F1="售价",ROUND(PRODUCT(T47,AB7:AB46),0),ROUND(PRODUCT(T47,AB7:AB46),1))</f>
        <v>#DIV/0!</v>
      </c>
      <c r="U48" s="3389"/>
      <c r="V48" s="3389" t="e">
        <f>IF(F1="售价",ROUND(PRODUCT(V47,AC7:AC46),0),ROUND(PRODUCT(V47,AC7:AC46),1))</f>
        <v>#DIV/0!</v>
      </c>
      <c r="W48" s="3389"/>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3"/>
      <c r="M49" s="2486"/>
      <c r="N49" s="2486"/>
      <c r="O49" s="2486"/>
      <c r="P49" s="3385" t="str">
        <f>A49</f>
        <v>估价对象XX用房的比较价值（楼面单价，元/平方米）</v>
      </c>
      <c r="Q49" s="3386"/>
      <c r="R49" s="3387" t="e">
        <f>IF(F1="售价",ROUND(IF(D48="简单平均",AVERAGE(R48:V48),R48*F48+T48*H48+V48*J48),0),ROUND(IF(D48="简单平均",AVERAGE(R48:V48),R48*F48+T48*H48+V48*J48),1))</f>
        <v>#DIV/0!</v>
      </c>
      <c r="S49" s="3387"/>
      <c r="T49" s="3387"/>
      <c r="U49" s="3387"/>
      <c r="V49" s="3387"/>
      <c r="W49" s="3387"/>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2023-11</v>
      </c>
      <c r="D58" s="1104">
        <f>EDATE(C58,-1)</f>
        <v>45200</v>
      </c>
      <c r="E58" s="1104">
        <f>EDATE(D58,-1)</f>
        <v>45170</v>
      </c>
      <c r="F58" s="1104">
        <f t="shared" ref="F58:O58" si="19">EDATE(E58,-1)</f>
        <v>45139</v>
      </c>
      <c r="G58" s="1104">
        <f t="shared" si="19"/>
        <v>45108</v>
      </c>
      <c r="H58" s="1104">
        <f t="shared" si="19"/>
        <v>45078</v>
      </c>
      <c r="I58" s="1104">
        <f t="shared" si="19"/>
        <v>45047</v>
      </c>
      <c r="J58" s="1104">
        <f t="shared" si="19"/>
        <v>45017</v>
      </c>
      <c r="K58" s="1104">
        <f t="shared" si="19"/>
        <v>44986</v>
      </c>
      <c r="L58" s="1104">
        <f t="shared" si="19"/>
        <v>44958</v>
      </c>
      <c r="M58" s="1104">
        <f t="shared" si="19"/>
        <v>44927</v>
      </c>
      <c r="N58" s="1104">
        <f t="shared" si="19"/>
        <v>44896</v>
      </c>
      <c r="O58" s="1104">
        <f t="shared" si="19"/>
        <v>44866</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69.63</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1769</v>
      </c>
      <c r="B4" s="346"/>
      <c r="C4" s="3403" t="s">
        <v>1770</v>
      </c>
      <c r="D4" s="3404"/>
      <c r="E4" s="3405" t="s">
        <v>1771</v>
      </c>
      <c r="F4" s="3406"/>
      <c r="G4" s="3403" t="s">
        <v>1772</v>
      </c>
      <c r="H4" s="3404"/>
      <c r="I4" s="3403" t="s">
        <v>1773</v>
      </c>
      <c r="J4" s="3404"/>
      <c r="K4" s="537" t="s">
        <v>1774</v>
      </c>
      <c r="L4" s="2485"/>
      <c r="M4" s="2486"/>
      <c r="N4" s="2486"/>
      <c r="O4" s="2486"/>
      <c r="P4" s="3436" t="s">
        <v>1775</v>
      </c>
      <c r="Q4" s="3437"/>
      <c r="R4" s="3440" t="s">
        <v>1771</v>
      </c>
      <c r="S4" s="3441"/>
      <c r="T4" s="3440" t="s">
        <v>1772</v>
      </c>
      <c r="U4" s="3441"/>
      <c r="V4" s="3442" t="s">
        <v>1773</v>
      </c>
      <c r="W4" s="3442"/>
      <c r="X4" s="1809"/>
      <c r="Y4" s="3440" t="s">
        <v>1775</v>
      </c>
      <c r="Z4" s="3441"/>
      <c r="AA4" s="3444" t="s">
        <v>1771</v>
      </c>
      <c r="AB4" s="3444" t="s">
        <v>1772</v>
      </c>
      <c r="AC4" s="3433" t="s">
        <v>1773</v>
      </c>
    </row>
    <row r="5" spans="1:29" ht="15">
      <c r="A5" s="348"/>
      <c r="B5" s="349"/>
      <c r="C5" s="3421" t="s">
        <v>1673</v>
      </c>
      <c r="D5" s="3422"/>
      <c r="E5" s="3428" t="s">
        <v>1674</v>
      </c>
      <c r="F5" s="3429"/>
      <c r="G5" s="3421" t="s">
        <v>1675</v>
      </c>
      <c r="H5" s="3422"/>
      <c r="I5" s="3421" t="s">
        <v>1676</v>
      </c>
      <c r="J5" s="3422"/>
      <c r="K5" s="537"/>
      <c r="L5" s="2485"/>
      <c r="M5" s="2486"/>
      <c r="N5" s="2486"/>
      <c r="O5" s="2486"/>
      <c r="P5" s="3438"/>
      <c r="Q5" s="3410"/>
      <c r="R5" s="3415"/>
      <c r="S5" s="3416"/>
      <c r="T5" s="3415"/>
      <c r="U5" s="3416"/>
      <c r="V5" s="3389"/>
      <c r="W5" s="3389"/>
      <c r="X5" s="1265"/>
      <c r="Y5" s="3415"/>
      <c r="Z5" s="3416"/>
      <c r="AA5" s="3401"/>
      <c r="AB5" s="3401"/>
      <c r="AC5" s="3434"/>
    </row>
    <row r="6" spans="1:29" ht="15.75" thickBot="1">
      <c r="A6" s="350"/>
      <c r="B6" s="351"/>
      <c r="C6" s="3419" t="s">
        <v>1677</v>
      </c>
      <c r="D6" s="3420"/>
      <c r="E6" s="3426" t="s">
        <v>1677</v>
      </c>
      <c r="F6" s="3427"/>
      <c r="G6" s="3419" t="s">
        <v>1677</v>
      </c>
      <c r="H6" s="3420"/>
      <c r="I6" s="3419" t="s">
        <v>1677</v>
      </c>
      <c r="J6" s="3420"/>
      <c r="K6" s="537" t="s">
        <v>1678</v>
      </c>
      <c r="L6" s="2485"/>
      <c r="M6" s="2486"/>
      <c r="N6" s="2486"/>
      <c r="O6" s="2486"/>
      <c r="P6" s="3439"/>
      <c r="Q6" s="3412"/>
      <c r="R6" s="3415"/>
      <c r="S6" s="3416"/>
      <c r="T6" s="3417"/>
      <c r="U6" s="3418"/>
      <c r="V6" s="3389"/>
      <c r="W6" s="3389"/>
      <c r="X6" s="1265"/>
      <c r="Y6" s="3417"/>
      <c r="Z6" s="3418"/>
      <c r="AA6" s="3402"/>
      <c r="AB6" s="3402"/>
      <c r="AC6" s="3435"/>
    </row>
    <row r="7" spans="1:29" s="102" customFormat="1" ht="15.75" thickBot="1">
      <c r="A7" s="352" t="s">
        <v>1679</v>
      </c>
      <c r="B7" s="353"/>
      <c r="C7" s="354">
        <f>'数据-取费表'!B2</f>
        <v>45247</v>
      </c>
      <c r="D7" s="355">
        <v>100</v>
      </c>
      <c r="E7" s="356"/>
      <c r="F7" s="357">
        <f>SUMIF(59:59,YEAR(E7)&amp;"-"&amp;MONTH(E7),60:60)</f>
        <v>0</v>
      </c>
      <c r="G7" s="356"/>
      <c r="H7" s="355">
        <f>SUMIF(59:59,YEAR(G7)&amp;"-"&amp;MONTH(G7),60:60)</f>
        <v>0</v>
      </c>
      <c r="I7" s="356"/>
      <c r="J7" s="355">
        <f>SUMIF(59:59,YEAR(I7)&amp;"-"&amp;MONTH(I7),60:60)</f>
        <v>0</v>
      </c>
      <c r="K7" s="38"/>
      <c r="L7" s="2487"/>
      <c r="M7" s="2438"/>
      <c r="N7" s="2438"/>
      <c r="O7" s="2438"/>
      <c r="P7" s="344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443" t="s">
        <v>1683</v>
      </c>
      <c r="Q8" s="3424"/>
      <c r="R8" s="664" t="s">
        <v>14</v>
      </c>
      <c r="S8" s="665">
        <f t="shared" si="0"/>
        <v>100</v>
      </c>
      <c r="T8" s="664" t="s">
        <v>14</v>
      </c>
      <c r="U8" s="665">
        <f t="shared" si="1"/>
        <v>100</v>
      </c>
      <c r="V8" s="664" t="s">
        <v>14</v>
      </c>
      <c r="W8" s="665">
        <f t="shared" si="2"/>
        <v>100</v>
      </c>
      <c r="X8" s="666"/>
      <c r="Y8" s="3423" t="s">
        <v>1683</v>
      </c>
      <c r="Z8" s="3424"/>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399"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802">
        <f t="shared" si="5"/>
        <v>1</v>
      </c>
    </row>
    <row r="10" spans="1:29" s="366" customFormat="1" ht="27">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8"/>
      <c r="M10" s="2489"/>
      <c r="N10" s="2489"/>
      <c r="O10" s="2489"/>
      <c r="P10" s="3399"/>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99"/>
      <c r="Q11" s="530" t="str">
        <f t="shared" si="6"/>
        <v>容积率</v>
      </c>
      <c r="R11" s="664" t="s">
        <v>14</v>
      </c>
      <c r="S11" s="665">
        <f t="shared" si="0"/>
        <v>100</v>
      </c>
      <c r="T11" s="664" t="s">
        <v>14</v>
      </c>
      <c r="U11" s="665">
        <f t="shared" si="1"/>
        <v>100</v>
      </c>
      <c r="V11" s="664" t="s">
        <v>14</v>
      </c>
      <c r="W11" s="665">
        <f t="shared" si="2"/>
        <v>100</v>
      </c>
      <c r="X11" s="666"/>
      <c r="Y11" s="326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8"/>
      <c r="N12" s="2438"/>
      <c r="O12" s="2438"/>
      <c r="P12" s="3399"/>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399"/>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399"/>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802">
        <f t="shared" si="5"/>
        <v>1</v>
      </c>
    </row>
    <row r="15" spans="1:29" ht="71.25">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397" t="s">
        <v>1691</v>
      </c>
      <c r="Q15" s="1263" t="str">
        <f t="shared" si="6"/>
        <v>办公集聚程度</v>
      </c>
      <c r="R15" s="667" t="s">
        <v>14</v>
      </c>
      <c r="S15" s="668">
        <f t="shared" si="0"/>
        <v>100</v>
      </c>
      <c r="T15" s="667" t="s">
        <v>14</v>
      </c>
      <c r="U15" s="668">
        <f t="shared" si="1"/>
        <v>100</v>
      </c>
      <c r="V15" s="667" t="s">
        <v>14</v>
      </c>
      <c r="W15" s="668">
        <f t="shared" si="2"/>
        <v>100</v>
      </c>
      <c r="X15" s="1265"/>
      <c r="Y15" s="3390"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398"/>
      <c r="Q16" s="1263"/>
      <c r="R16" s="667"/>
      <c r="S16" s="668"/>
      <c r="T16" s="667"/>
      <c r="U16" s="668"/>
      <c r="V16" s="667"/>
      <c r="W16" s="668"/>
      <c r="X16" s="1265"/>
      <c r="Y16" s="3391"/>
      <c r="Z16" s="1264"/>
      <c r="AA16" s="1264">
        <v>1</v>
      </c>
      <c r="AB16" s="1264">
        <v>1</v>
      </c>
      <c r="AC16" s="1812">
        <v>1</v>
      </c>
    </row>
    <row r="17" spans="1:29" ht="71.25">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398"/>
      <c r="Q17" s="1263" t="str">
        <f>B17</f>
        <v>交通便捷度</v>
      </c>
      <c r="R17" s="667" t="s">
        <v>14</v>
      </c>
      <c r="S17" s="668">
        <f>F17</f>
        <v>100</v>
      </c>
      <c r="T17" s="667" t="s">
        <v>14</v>
      </c>
      <c r="U17" s="668">
        <f>H17</f>
        <v>100</v>
      </c>
      <c r="V17" s="667" t="s">
        <v>14</v>
      </c>
      <c r="W17" s="668">
        <f>J17</f>
        <v>100</v>
      </c>
      <c r="X17" s="1265"/>
      <c r="Y17" s="3391"/>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398"/>
      <c r="Q18" s="1263"/>
      <c r="R18" s="667"/>
      <c r="S18" s="668"/>
      <c r="T18" s="667"/>
      <c r="U18" s="668"/>
      <c r="V18" s="667"/>
      <c r="W18" s="668"/>
      <c r="X18" s="1265"/>
      <c r="Y18" s="3391"/>
      <c r="Z18" s="1264"/>
      <c r="AA18" s="1264">
        <v>1</v>
      </c>
      <c r="AB18" s="1264">
        <v>1</v>
      </c>
      <c r="AC18" s="1812">
        <v>1</v>
      </c>
    </row>
    <row r="19" spans="1:29" ht="42.75">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398"/>
      <c r="Q19" s="1263" t="str">
        <f>B19</f>
        <v>公共配套设施</v>
      </c>
      <c r="R19" s="667" t="s">
        <v>14</v>
      </c>
      <c r="S19" s="668">
        <f>F19</f>
        <v>100</v>
      </c>
      <c r="T19" s="667" t="s">
        <v>14</v>
      </c>
      <c r="U19" s="668">
        <f>H19</f>
        <v>100</v>
      </c>
      <c r="V19" s="667" t="s">
        <v>14</v>
      </c>
      <c r="W19" s="668">
        <f>J19</f>
        <v>100</v>
      </c>
      <c r="X19" s="1265"/>
      <c r="Y19" s="3391"/>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398"/>
      <c r="Q20" s="1263"/>
      <c r="R20" s="667"/>
      <c r="S20" s="668"/>
      <c r="T20" s="667"/>
      <c r="U20" s="668"/>
      <c r="V20" s="667"/>
      <c r="W20" s="668"/>
      <c r="X20" s="1265"/>
      <c r="Y20" s="3391"/>
      <c r="Z20" s="1264"/>
      <c r="AA20" s="1264">
        <v>1</v>
      </c>
      <c r="AB20" s="1264">
        <v>1</v>
      </c>
      <c r="AC20" s="1812">
        <v>1</v>
      </c>
    </row>
    <row r="21" spans="1:29" ht="28.5">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398"/>
      <c r="Q21" s="1263" t="str">
        <f>B21</f>
        <v>基础设施水平</v>
      </c>
      <c r="R21" s="667" t="s">
        <v>14</v>
      </c>
      <c r="S21" s="668">
        <f>F21</f>
        <v>100</v>
      </c>
      <c r="T21" s="667" t="s">
        <v>14</v>
      </c>
      <c r="U21" s="668">
        <f>H21</f>
        <v>100</v>
      </c>
      <c r="V21" s="667" t="s">
        <v>14</v>
      </c>
      <c r="W21" s="668">
        <f>J21</f>
        <v>100</v>
      </c>
      <c r="X21" s="1265"/>
      <c r="Y21" s="3391"/>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398"/>
      <c r="Q22" s="1263"/>
      <c r="R22" s="667"/>
      <c r="S22" s="668"/>
      <c r="T22" s="667"/>
      <c r="U22" s="668"/>
      <c r="V22" s="667"/>
      <c r="W22" s="668"/>
      <c r="X22" s="1265"/>
      <c r="Y22" s="3391"/>
      <c r="Z22" s="1264"/>
      <c r="AA22" s="1264">
        <v>1</v>
      </c>
      <c r="AB22" s="1264">
        <v>1</v>
      </c>
      <c r="AC22" s="1812">
        <v>1</v>
      </c>
    </row>
    <row r="23" spans="1:29" ht="42.75">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398"/>
      <c r="Q23" s="1263" t="str">
        <f>B23</f>
        <v>环境质量</v>
      </c>
      <c r="R23" s="667" t="s">
        <v>14</v>
      </c>
      <c r="S23" s="668">
        <f>F23</f>
        <v>100</v>
      </c>
      <c r="T23" s="667" t="s">
        <v>14</v>
      </c>
      <c r="U23" s="668">
        <f>H23</f>
        <v>100</v>
      </c>
      <c r="V23" s="667" t="s">
        <v>14</v>
      </c>
      <c r="W23" s="668">
        <f>J23</f>
        <v>100</v>
      </c>
      <c r="X23" s="1265"/>
      <c r="Y23" s="3391"/>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398"/>
      <c r="Q24" s="1263"/>
      <c r="R24" s="667"/>
      <c r="S24" s="668"/>
      <c r="T24" s="667"/>
      <c r="U24" s="668"/>
      <c r="V24" s="667"/>
      <c r="W24" s="668"/>
      <c r="X24" s="1265"/>
      <c r="Y24" s="3391"/>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398"/>
      <c r="Q25" s="1263" t="str">
        <f>B25</f>
        <v>毗邻道路的类型与等级</v>
      </c>
      <c r="R25" s="667" t="s">
        <v>14</v>
      </c>
      <c r="S25" s="668">
        <f>F25</f>
        <v>100</v>
      </c>
      <c r="T25" s="667" t="s">
        <v>14</v>
      </c>
      <c r="U25" s="668">
        <f>H25</f>
        <v>100</v>
      </c>
      <c r="V25" s="667" t="s">
        <v>14</v>
      </c>
      <c r="W25" s="668">
        <f>J25</f>
        <v>100</v>
      </c>
      <c r="X25" s="1265"/>
      <c r="Y25" s="3391"/>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398"/>
      <c r="Q26" s="1263"/>
      <c r="R26" s="667"/>
      <c r="S26" s="668"/>
      <c r="T26" s="667"/>
      <c r="U26" s="668"/>
      <c r="V26" s="667"/>
      <c r="W26" s="668"/>
      <c r="X26" s="1265"/>
      <c r="Y26" s="3391"/>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398"/>
      <c r="Q27" s="1263" t="str">
        <f t="shared" ref="Q27:Q47" si="11">B27</f>
        <v>楼层</v>
      </c>
      <c r="R27" s="667" t="s">
        <v>14</v>
      </c>
      <c r="S27" s="668">
        <f>F27</f>
        <v>100</v>
      </c>
      <c r="T27" s="667" t="s">
        <v>14</v>
      </c>
      <c r="U27" s="668">
        <f>H27</f>
        <v>100</v>
      </c>
      <c r="V27" s="667" t="s">
        <v>14</v>
      </c>
      <c r="W27" s="668">
        <f>J27</f>
        <v>100</v>
      </c>
      <c r="X27" s="1265"/>
      <c r="Y27" s="3391"/>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8"/>
      <c r="N28" s="2438"/>
      <c r="O28" s="2438"/>
      <c r="P28" s="3398"/>
      <c r="Q28" s="530" t="str">
        <f t="shared" si="11"/>
        <v>朝向</v>
      </c>
      <c r="R28" s="664" t="s">
        <v>14</v>
      </c>
      <c r="S28" s="665">
        <f>F28</f>
        <v>100</v>
      </c>
      <c r="T28" s="664" t="s">
        <v>14</v>
      </c>
      <c r="U28" s="665">
        <f>H28</f>
        <v>100</v>
      </c>
      <c r="V28" s="664" t="s">
        <v>14</v>
      </c>
      <c r="W28" s="665">
        <f>J28</f>
        <v>100</v>
      </c>
      <c r="X28" s="666"/>
      <c r="Y28" s="3391"/>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398"/>
      <c r="Q29" s="1263">
        <f t="shared" si="11"/>
        <v>111</v>
      </c>
      <c r="R29" s="667" t="s">
        <v>14</v>
      </c>
      <c r="S29" s="668">
        <f t="shared" ref="S29:S47" si="12">F29</f>
        <v>100</v>
      </c>
      <c r="T29" s="667" t="s">
        <v>14</v>
      </c>
      <c r="U29" s="668">
        <f t="shared" ref="U29:U47" si="13">H29</f>
        <v>100</v>
      </c>
      <c r="V29" s="667" t="s">
        <v>14</v>
      </c>
      <c r="W29" s="668">
        <f t="shared" ref="W29:W47" si="14">J29</f>
        <v>100</v>
      </c>
      <c r="X29" s="1265"/>
      <c r="Y29" s="3391"/>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398"/>
      <c r="Q30" s="1263">
        <f t="shared" si="11"/>
        <v>111</v>
      </c>
      <c r="R30" s="667" t="s">
        <v>14</v>
      </c>
      <c r="S30" s="668">
        <f t="shared" si="12"/>
        <v>100</v>
      </c>
      <c r="T30" s="667" t="s">
        <v>14</v>
      </c>
      <c r="U30" s="668">
        <f t="shared" si="13"/>
        <v>100</v>
      </c>
      <c r="V30" s="667" t="s">
        <v>14</v>
      </c>
      <c r="W30" s="668">
        <f t="shared" si="14"/>
        <v>100</v>
      </c>
      <c r="X30" s="1265"/>
      <c r="Y30" s="3391"/>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398"/>
      <c r="Q31" s="1263">
        <f t="shared" si="11"/>
        <v>111</v>
      </c>
      <c r="R31" s="667" t="s">
        <v>14</v>
      </c>
      <c r="S31" s="668">
        <f t="shared" si="12"/>
        <v>100</v>
      </c>
      <c r="T31" s="667" t="s">
        <v>14</v>
      </c>
      <c r="U31" s="668">
        <f t="shared" si="13"/>
        <v>100</v>
      </c>
      <c r="V31" s="667" t="s">
        <v>14</v>
      </c>
      <c r="W31" s="668">
        <f t="shared" si="14"/>
        <v>100</v>
      </c>
      <c r="X31" s="1265"/>
      <c r="Y31" s="3391"/>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398"/>
      <c r="Q32" s="1263">
        <f t="shared" si="11"/>
        <v>111</v>
      </c>
      <c r="R32" s="667" t="s">
        <v>14</v>
      </c>
      <c r="S32" s="668">
        <f t="shared" si="12"/>
        <v>100</v>
      </c>
      <c r="T32" s="667" t="s">
        <v>14</v>
      </c>
      <c r="U32" s="668">
        <f t="shared" si="13"/>
        <v>100</v>
      </c>
      <c r="V32" s="667" t="s">
        <v>14</v>
      </c>
      <c r="W32" s="668">
        <f t="shared" si="14"/>
        <v>100</v>
      </c>
      <c r="X32" s="1265"/>
      <c r="Y32" s="3391"/>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392" t="s">
        <v>1696</v>
      </c>
      <c r="Q33" s="1263" t="str">
        <f t="shared" si="11"/>
        <v>建筑类型</v>
      </c>
      <c r="R33" s="667" t="s">
        <v>14</v>
      </c>
      <c r="S33" s="668">
        <f t="shared" si="12"/>
        <v>100</v>
      </c>
      <c r="T33" s="667" t="s">
        <v>14</v>
      </c>
      <c r="U33" s="668">
        <f t="shared" si="13"/>
        <v>100</v>
      </c>
      <c r="V33" s="667" t="s">
        <v>14</v>
      </c>
      <c r="W33" s="668">
        <f t="shared" si="14"/>
        <v>100</v>
      </c>
      <c r="X33" s="1265"/>
      <c r="Y33" s="3395"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393"/>
      <c r="Q34" s="531" t="str">
        <f t="shared" si="11"/>
        <v>项目建筑规模</v>
      </c>
      <c r="R34" s="669" t="s">
        <v>14</v>
      </c>
      <c r="S34" s="670" t="e">
        <f t="shared" si="12"/>
        <v>#N/A</v>
      </c>
      <c r="T34" s="669" t="s">
        <v>14</v>
      </c>
      <c r="U34" s="670" t="e">
        <f t="shared" si="13"/>
        <v>#N/A</v>
      </c>
      <c r="V34" s="669" t="s">
        <v>14</v>
      </c>
      <c r="W34" s="670" t="e">
        <f t="shared" si="14"/>
        <v>#N/A</v>
      </c>
      <c r="X34" s="671"/>
      <c r="Y34" s="3395"/>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93"/>
      <c r="Q35" s="1263" t="str">
        <f t="shared" si="11"/>
        <v>建筑结构</v>
      </c>
      <c r="R35" s="667" t="s">
        <v>14</v>
      </c>
      <c r="S35" s="668">
        <f t="shared" si="12"/>
        <v>100</v>
      </c>
      <c r="T35" s="667" t="s">
        <v>14</v>
      </c>
      <c r="U35" s="668">
        <f t="shared" si="13"/>
        <v>100</v>
      </c>
      <c r="V35" s="667" t="s">
        <v>14</v>
      </c>
      <c r="W35" s="668">
        <f t="shared" si="14"/>
        <v>100</v>
      </c>
      <c r="X35" s="1265"/>
      <c r="Y35" s="3395"/>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93"/>
      <c r="Q36" s="1263" t="str">
        <f t="shared" si="11"/>
        <v>公共部分装修</v>
      </c>
      <c r="R36" s="667" t="s">
        <v>14</v>
      </c>
      <c r="S36" s="668">
        <f t="shared" si="12"/>
        <v>100</v>
      </c>
      <c r="T36" s="667" t="s">
        <v>14</v>
      </c>
      <c r="U36" s="668">
        <f t="shared" si="13"/>
        <v>100</v>
      </c>
      <c r="V36" s="667" t="s">
        <v>14</v>
      </c>
      <c r="W36" s="668">
        <f t="shared" si="14"/>
        <v>100</v>
      </c>
      <c r="X36" s="1265"/>
      <c r="Y36" s="3395"/>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393"/>
      <c r="Q37" s="1263" t="str">
        <f t="shared" si="11"/>
        <v>成新度</v>
      </c>
      <c r="R37" s="667" t="s">
        <v>14</v>
      </c>
      <c r="S37" s="668" t="e">
        <f t="shared" si="12"/>
        <v>#N/A</v>
      </c>
      <c r="T37" s="667" t="s">
        <v>14</v>
      </c>
      <c r="U37" s="668" t="e">
        <f t="shared" si="13"/>
        <v>#N/A</v>
      </c>
      <c r="V37" s="667" t="s">
        <v>14</v>
      </c>
      <c r="W37" s="668" t="e">
        <f t="shared" si="14"/>
        <v>#N/A</v>
      </c>
      <c r="X37" s="1265"/>
      <c r="Y37" s="3395"/>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393"/>
      <c r="Q38" s="530" t="str">
        <f t="shared" si="11"/>
        <v>写字楼等级</v>
      </c>
      <c r="R38" s="664" t="s">
        <v>14</v>
      </c>
      <c r="S38" s="665">
        <f t="shared" si="12"/>
        <v>100</v>
      </c>
      <c r="T38" s="664" t="s">
        <v>14</v>
      </c>
      <c r="U38" s="665">
        <f t="shared" si="13"/>
        <v>100</v>
      </c>
      <c r="V38" s="664" t="s">
        <v>14</v>
      </c>
      <c r="W38" s="665">
        <f t="shared" si="14"/>
        <v>100</v>
      </c>
      <c r="X38" s="666"/>
      <c r="Y38" s="3395"/>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393" t="s">
        <v>1696</v>
      </c>
      <c r="Q39" s="1263" t="str">
        <f t="shared" si="11"/>
        <v>物业管理</v>
      </c>
      <c r="R39" s="667" t="s">
        <v>14</v>
      </c>
      <c r="S39" s="668">
        <f t="shared" si="12"/>
        <v>100</v>
      </c>
      <c r="T39" s="667" t="s">
        <v>14</v>
      </c>
      <c r="U39" s="668">
        <f t="shared" si="13"/>
        <v>100</v>
      </c>
      <c r="V39" s="667" t="s">
        <v>14</v>
      </c>
      <c r="W39" s="668">
        <f t="shared" si="14"/>
        <v>100</v>
      </c>
      <c r="X39" s="1265"/>
      <c r="Y39" s="3395"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93"/>
      <c r="Q40" s="1263" t="str">
        <f t="shared" si="11"/>
        <v>市政基础设施</v>
      </c>
      <c r="R40" s="667" t="s">
        <v>14</v>
      </c>
      <c r="S40" s="668">
        <f t="shared" si="12"/>
        <v>100</v>
      </c>
      <c r="T40" s="667" t="s">
        <v>14</v>
      </c>
      <c r="U40" s="668">
        <f t="shared" si="13"/>
        <v>100</v>
      </c>
      <c r="V40" s="667" t="s">
        <v>14</v>
      </c>
      <c r="W40" s="668">
        <f t="shared" si="14"/>
        <v>100</v>
      </c>
      <c r="X40" s="1265"/>
      <c r="Y40" s="3395"/>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93"/>
      <c r="Q41" s="1263" t="str">
        <f t="shared" si="11"/>
        <v>层高</v>
      </c>
      <c r="R41" s="667" t="s">
        <v>14</v>
      </c>
      <c r="S41" s="668">
        <f t="shared" si="12"/>
        <v>100</v>
      </c>
      <c r="T41" s="667" t="s">
        <v>14</v>
      </c>
      <c r="U41" s="668">
        <f t="shared" si="13"/>
        <v>100</v>
      </c>
      <c r="V41" s="667" t="s">
        <v>14</v>
      </c>
      <c r="W41" s="668">
        <f t="shared" si="14"/>
        <v>100</v>
      </c>
      <c r="X41" s="1265"/>
      <c r="Y41" s="3395"/>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93"/>
      <c r="Q42" s="531" t="str">
        <f t="shared" si="11"/>
        <v>单套建筑面积</v>
      </c>
      <c r="R42" s="669" t="s">
        <v>14</v>
      </c>
      <c r="S42" s="670">
        <f t="shared" si="12"/>
        <v>100</v>
      </c>
      <c r="T42" s="669" t="s">
        <v>14</v>
      </c>
      <c r="U42" s="670">
        <f t="shared" si="13"/>
        <v>100</v>
      </c>
      <c r="V42" s="669" t="s">
        <v>14</v>
      </c>
      <c r="W42" s="670">
        <f t="shared" si="14"/>
        <v>100</v>
      </c>
      <c r="X42" s="671"/>
      <c r="Y42" s="3395"/>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93"/>
      <c r="Q43" s="1263" t="str">
        <f t="shared" si="11"/>
        <v>内部装修</v>
      </c>
      <c r="R43" s="667" t="s">
        <v>14</v>
      </c>
      <c r="S43" s="668">
        <f t="shared" si="12"/>
        <v>100</v>
      </c>
      <c r="T43" s="667" t="s">
        <v>14</v>
      </c>
      <c r="U43" s="668">
        <f t="shared" si="13"/>
        <v>100</v>
      </c>
      <c r="V43" s="667" t="s">
        <v>14</v>
      </c>
      <c r="W43" s="668">
        <f t="shared" si="14"/>
        <v>100</v>
      </c>
      <c r="X43" s="1265"/>
      <c r="Y43" s="3395"/>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393"/>
      <c r="Q44" s="1263" t="str">
        <f t="shared" si="11"/>
        <v>内部装修维护情况</v>
      </c>
      <c r="R44" s="667" t="s">
        <v>14</v>
      </c>
      <c r="S44" s="668">
        <f t="shared" si="12"/>
        <v>100</v>
      </c>
      <c r="T44" s="667" t="s">
        <v>14</v>
      </c>
      <c r="U44" s="668">
        <f t="shared" si="13"/>
        <v>100</v>
      </c>
      <c r="V44" s="667" t="s">
        <v>14</v>
      </c>
      <c r="W44" s="668">
        <f t="shared" si="14"/>
        <v>100</v>
      </c>
      <c r="X44" s="1265"/>
      <c r="Y44" s="3395"/>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393"/>
      <c r="Q45" s="530">
        <f t="shared" si="11"/>
        <v>111</v>
      </c>
      <c r="R45" s="664" t="s">
        <v>14</v>
      </c>
      <c r="S45" s="665">
        <f t="shared" si="12"/>
        <v>100</v>
      </c>
      <c r="T45" s="664" t="s">
        <v>14</v>
      </c>
      <c r="U45" s="665">
        <f t="shared" si="13"/>
        <v>100</v>
      </c>
      <c r="V45" s="664" t="s">
        <v>14</v>
      </c>
      <c r="W45" s="665">
        <f t="shared" si="14"/>
        <v>100</v>
      </c>
      <c r="X45" s="666"/>
      <c r="Y45" s="3395"/>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93"/>
      <c r="Q46" s="1263">
        <f t="shared" si="11"/>
        <v>111</v>
      </c>
      <c r="R46" s="667" t="s">
        <v>14</v>
      </c>
      <c r="S46" s="668">
        <f t="shared" si="12"/>
        <v>100</v>
      </c>
      <c r="T46" s="667" t="s">
        <v>14</v>
      </c>
      <c r="U46" s="668">
        <f t="shared" si="13"/>
        <v>100</v>
      </c>
      <c r="V46" s="667" t="s">
        <v>14</v>
      </c>
      <c r="W46" s="668">
        <f t="shared" si="14"/>
        <v>100</v>
      </c>
      <c r="X46" s="1265"/>
      <c r="Y46" s="3395"/>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94"/>
      <c r="Q47" s="1263">
        <f t="shared" si="11"/>
        <v>111</v>
      </c>
      <c r="R47" s="667" t="s">
        <v>14</v>
      </c>
      <c r="S47" s="668">
        <f t="shared" si="12"/>
        <v>100</v>
      </c>
      <c r="T47" s="667" t="s">
        <v>14</v>
      </c>
      <c r="U47" s="668">
        <f t="shared" si="13"/>
        <v>100</v>
      </c>
      <c r="V47" s="667" t="s">
        <v>14</v>
      </c>
      <c r="W47" s="668">
        <f t="shared" si="14"/>
        <v>100</v>
      </c>
      <c r="X47" s="1265"/>
      <c r="Y47" s="3396"/>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3"/>
      <c r="M48" s="2486"/>
      <c r="N48" s="2486"/>
      <c r="O48" s="2486"/>
      <c r="P48" s="3399" t="str">
        <f>A48</f>
        <v>成交单价（元/平方米）</v>
      </c>
      <c r="Q48" s="3388"/>
      <c r="R48" s="3389">
        <f>E48</f>
        <v>0</v>
      </c>
      <c r="S48" s="3389"/>
      <c r="T48" s="3389">
        <f>G48</f>
        <v>0</v>
      </c>
      <c r="U48" s="3389"/>
      <c r="V48" s="3389">
        <f>I48</f>
        <v>0</v>
      </c>
      <c r="W48" s="3389"/>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3"/>
      <c r="M49" s="2486"/>
      <c r="N49" s="2486"/>
      <c r="O49" s="2486"/>
      <c r="P49" s="3399" t="str">
        <f>A49</f>
        <v>比较价值（元/平方米）</v>
      </c>
      <c r="Q49" s="3388"/>
      <c r="R49" s="3389" t="e">
        <f>IF(F1="售价",ROUND(PRODUCT(R48,AA7:AA47),0),ROUND(PRODUCT(R48,AA7:AA47),1))</f>
        <v>#DIV/0!</v>
      </c>
      <c r="S49" s="3389"/>
      <c r="T49" s="3389" t="e">
        <f>IF(F1="售价",ROUND(PRODUCT(T48,AB7:AB47),0),ROUND(PRODUCT(T48,AB7:AB47),1))</f>
        <v>#DIV/0!</v>
      </c>
      <c r="U49" s="3389"/>
      <c r="V49" s="3389" t="e">
        <f>IF(F1="售价",ROUND(PRODUCT(V48,AC7:AC47),0),ROUND(PRODUCT(V48,AC7:AC47),1))</f>
        <v>#DIV/0!</v>
      </c>
      <c r="W49" s="3389"/>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430" t="str">
        <f>A50</f>
        <v>估价对象XX用房的比较价值（楼面单价，元/平方米）</v>
      </c>
      <c r="Q50" s="3431"/>
      <c r="R50" s="3432" t="e">
        <f>IF(F1="售价",ROUND(IF(D49="简单平均",AVERAGE(R49:V49),R49*F49+T49*H49+V49*J49),0),ROUND(IF(D49="简单平均",AVERAGE(R49:V49),R49*F49+T49*H49+V49*J49),1))</f>
        <v>#DIV/0!</v>
      </c>
      <c r="S50" s="3432"/>
      <c r="T50" s="3432"/>
      <c r="U50" s="3432"/>
      <c r="V50" s="3432"/>
      <c r="W50" s="3432"/>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2"/>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2"/>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2"/>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2"/>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3"/>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3"/>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2"/>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8"/>
      <c r="M58" s="886"/>
      <c r="N58" s="2535"/>
      <c r="O58" s="2535"/>
      <c r="P58" s="2524"/>
      <c r="Q58" s="2507"/>
      <c r="R58" s="2486"/>
      <c r="S58" s="2486"/>
      <c r="T58" s="2486"/>
      <c r="U58" s="2486"/>
      <c r="V58" s="2486"/>
      <c r="W58" s="2486"/>
      <c r="X58" s="2486"/>
      <c r="Y58" s="2486"/>
      <c r="Z58" s="2486"/>
      <c r="AA58" s="2486"/>
      <c r="AB58" s="2486"/>
      <c r="AC58" s="2486"/>
    </row>
    <row r="59" spans="1:29" s="442" customFormat="1" ht="15">
      <c r="A59" s="440" t="s">
        <v>1679</v>
      </c>
      <c r="B59" s="441"/>
      <c r="C59" s="1103" t="str">
        <f>YEAR(C7)&amp;"-"&amp;MONTH(C7)</f>
        <v>2023-11</v>
      </c>
      <c r="D59" s="1104">
        <f>EDATE(C59,-1)</f>
        <v>45200</v>
      </c>
      <c r="E59" s="1104">
        <f>EDATE(D59,-1)</f>
        <v>45170</v>
      </c>
      <c r="F59" s="1104">
        <f t="shared" ref="F59:O59" si="16">EDATE(E59,-1)</f>
        <v>45139</v>
      </c>
      <c r="G59" s="1104">
        <f t="shared" si="16"/>
        <v>45108</v>
      </c>
      <c r="H59" s="1104">
        <f t="shared" si="16"/>
        <v>45078</v>
      </c>
      <c r="I59" s="1104">
        <f t="shared" si="16"/>
        <v>45047</v>
      </c>
      <c r="J59" s="1104">
        <f t="shared" si="16"/>
        <v>45017</v>
      </c>
      <c r="K59" s="1104">
        <f t="shared" si="16"/>
        <v>44986</v>
      </c>
      <c r="L59" s="1104">
        <f t="shared" si="16"/>
        <v>44958</v>
      </c>
      <c r="M59" s="1104">
        <f t="shared" si="16"/>
        <v>44927</v>
      </c>
      <c r="N59" s="1104">
        <f t="shared" si="16"/>
        <v>44896</v>
      </c>
      <c r="O59" s="1104">
        <f t="shared" si="16"/>
        <v>44866</v>
      </c>
      <c r="P59" s="2525"/>
      <c r="Q59" s="2508"/>
      <c r="R59" s="2508"/>
      <c r="S59" s="2508"/>
      <c r="T59" s="2508"/>
      <c r="U59" s="2508"/>
      <c r="V59" s="2508"/>
      <c r="W59" s="2508"/>
      <c r="X59" s="2508"/>
      <c r="Y59" s="2508"/>
      <c r="Z59" s="2508"/>
      <c r="AA59" s="2508"/>
      <c r="AB59" s="2508"/>
      <c r="AC59" s="2508"/>
    </row>
    <row r="60" spans="1:29" s="102" customFormat="1" ht="15">
      <c r="A60" s="443"/>
      <c r="B60" s="444"/>
      <c r="C60" s="1102">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6"/>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8"/>
      <c r="O62" s="2518"/>
      <c r="P62" s="2527"/>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8"/>
      <c r="O63" s="2518"/>
      <c r="P63" s="2526"/>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19"/>
      <c r="O64" s="2519"/>
      <c r="P64" s="2528"/>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0"/>
      <c r="O65" s="2520"/>
      <c r="P65" s="2528"/>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19"/>
      <c r="O66" s="2519"/>
      <c r="P66" s="2528"/>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0"/>
      <c r="O67" s="2520"/>
      <c r="P67" s="2528"/>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19"/>
      <c r="O69" s="2519"/>
      <c r="P69" s="2528"/>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1"/>
      <c r="O71" s="2521"/>
      <c r="P71" s="2529"/>
      <c r="Q71" s="2513"/>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0"/>
      <c r="O72" s="2520"/>
      <c r="P72" s="2529"/>
      <c r="Q72" s="2513"/>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1"/>
      <c r="O73" s="2521"/>
      <c r="P73" s="2530"/>
      <c r="Q73" s="2515"/>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1"/>
      <c r="O74" s="2521"/>
      <c r="P74" s="2529"/>
      <c r="Q74" s="2513"/>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1"/>
      <c r="O75" s="2521"/>
      <c r="P75" s="2531"/>
      <c r="Q75" s="2513"/>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1"/>
      <c r="O76" s="2521"/>
      <c r="P76" s="2529"/>
      <c r="Q76" s="2513"/>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0"/>
      <c r="O78" s="2520"/>
      <c r="P78" s="2528"/>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0"/>
      <c r="O80" s="2520"/>
      <c r="P80" s="2528"/>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0"/>
      <c r="O82" s="2520"/>
      <c r="P82" s="2528"/>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3"/>
      <c r="N83" s="2520"/>
      <c r="O83" s="2520"/>
      <c r="P83" s="2528"/>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0"/>
      <c r="O84" s="2520"/>
      <c r="P84" s="2528"/>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0"/>
      <c r="O86" s="2520"/>
      <c r="P86" s="2528"/>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8"/>
      <c r="O87" s="2518"/>
      <c r="P87" s="2528"/>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0"/>
      <c r="O88" s="2520"/>
      <c r="P88" s="2528"/>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80"/>
      <c r="G89" s="485"/>
      <c r="H89" s="485"/>
      <c r="I89" s="485"/>
      <c r="J89" s="485"/>
      <c r="K89" s="485"/>
      <c r="L89" s="485"/>
      <c r="M89" s="511"/>
      <c r="N89" s="2518"/>
      <c r="O89" s="2518"/>
      <c r="P89" s="2528"/>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0"/>
      <c r="O90" s="2520"/>
      <c r="P90" s="2528"/>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1"/>
      <c r="O91" s="2521"/>
      <c r="P91" s="2529"/>
      <c r="Q91" s="2513"/>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19"/>
      <c r="O93" s="2519"/>
      <c r="P93" s="2528"/>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0"/>
      <c r="O94" s="2520"/>
      <c r="P94" s="2528"/>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19"/>
      <c r="O95" s="2519"/>
      <c r="P95" s="2528"/>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0"/>
      <c r="O96" s="2520"/>
      <c r="P96" s="2528"/>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19"/>
      <c r="O97" s="2519"/>
      <c r="P97" s="2528"/>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0"/>
      <c r="O98" s="2520"/>
      <c r="P98" s="2528"/>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19"/>
      <c r="O99" s="2519"/>
      <c r="P99" s="2528"/>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0"/>
      <c r="O100" s="2520"/>
      <c r="P100" s="2528"/>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19"/>
      <c r="O101" s="2519"/>
      <c r="P101" s="2528"/>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0"/>
      <c r="O102" s="2520"/>
      <c r="P102" s="2528"/>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8"/>
      <c r="O103" s="2518"/>
      <c r="P103" s="2528"/>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1"/>
      <c r="O104" s="2521"/>
      <c r="P104" s="2529"/>
      <c r="Q104" s="2513"/>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0"/>
      <c r="O105" s="2520"/>
      <c r="P105" s="2529"/>
      <c r="Q105" s="2513"/>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19"/>
      <c r="O106" s="2519"/>
      <c r="P106" s="2528"/>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0"/>
      <c r="O107" s="2520"/>
      <c r="P107" s="2528"/>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19"/>
      <c r="O108" s="2519"/>
      <c r="P108" s="2528"/>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0"/>
      <c r="O109" s="2520"/>
      <c r="P109" s="2528"/>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0"/>
      <c r="O112" s="2520"/>
      <c r="P112" s="2528"/>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1"/>
      <c r="O114" s="2521"/>
      <c r="P114" s="2529"/>
      <c r="Q114" s="2513"/>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19"/>
      <c r="O115" s="2519"/>
      <c r="P115" s="2528"/>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0"/>
      <c r="O116" s="2520"/>
      <c r="P116" s="2528"/>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19"/>
      <c r="O117" s="2519"/>
      <c r="P117" s="2528"/>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0"/>
      <c r="O118" s="2520"/>
      <c r="P118" s="2528"/>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0"/>
      <c r="O119" s="2520"/>
      <c r="P119" s="2533"/>
      <c r="Q119" s="2534"/>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0"/>
      <c r="O120" s="2520"/>
      <c r="P120" s="2528"/>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1"/>
      <c r="O122" s="2521"/>
      <c r="P122" s="2529"/>
      <c r="Q122" s="2513"/>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19"/>
      <c r="O123" s="2519"/>
      <c r="P123" s="2528"/>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0"/>
      <c r="O124" s="2520"/>
      <c r="P124" s="2528"/>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0"/>
      <c r="O126" s="2520"/>
      <c r="P126" s="2528"/>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1"/>
      <c r="O127" s="2521"/>
      <c r="P127" s="2529"/>
      <c r="Q127" s="2513"/>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1"/>
      <c r="O128" s="2521"/>
      <c r="P128" s="2529"/>
      <c r="Q128" s="2513"/>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19"/>
      <c r="O129" s="2519"/>
      <c r="P129" s="2528"/>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0"/>
      <c r="O130" s="2520"/>
      <c r="P130" s="2528"/>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19"/>
      <c r="O131" s="2519"/>
      <c r="P131" s="2528"/>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0"/>
      <c r="O132" s="2520"/>
      <c r="P132" s="2528"/>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107" priority="16" stopIfTrue="1">
      <formula>$F$53="超过30%"</formula>
    </cfRule>
  </conditionalFormatting>
  <conditionalFormatting sqref="E54">
    <cfRule type="expression" dxfId="106" priority="15" stopIfTrue="1">
      <formula>$F$54="超过20%"</formula>
    </cfRule>
  </conditionalFormatting>
  <conditionalFormatting sqref="E55">
    <cfRule type="expression" dxfId="105" priority="14" stopIfTrue="1">
      <formula>$F$55="超过30%"</formula>
    </cfRule>
  </conditionalFormatting>
  <conditionalFormatting sqref="F7:F47 H7:H47 J7:J47">
    <cfRule type="cellIs" dxfId="104" priority="1" operator="notEqual">
      <formula>100</formula>
    </cfRule>
  </conditionalFormatting>
  <conditionalFormatting sqref="F49">
    <cfRule type="expression" dxfId="103" priority="4">
      <formula>$D$49="简单平均"</formula>
    </cfRule>
  </conditionalFormatting>
  <conditionalFormatting sqref="F53:F55 H53:H55">
    <cfRule type="containsText" dxfId="102" priority="17" stopIfTrue="1" operator="containsText" text="超过">
      <formula>NOT(ISERROR(SEARCH("超过",F53)))</formula>
    </cfRule>
  </conditionalFormatting>
  <conditionalFormatting sqref="G53">
    <cfRule type="expression" dxfId="101" priority="12" stopIfTrue="1">
      <formula>$H$53="超过30%"</formula>
    </cfRule>
  </conditionalFormatting>
  <conditionalFormatting sqref="G54">
    <cfRule type="expression" dxfId="100" priority="11" stopIfTrue="1">
      <formula>$H$54="超过20%"</formula>
    </cfRule>
  </conditionalFormatting>
  <conditionalFormatting sqref="G55">
    <cfRule type="expression" dxfId="99" priority="13" stopIfTrue="1">
      <formula>$H$55="超过30%"</formula>
    </cfRule>
  </conditionalFormatting>
  <conditionalFormatting sqref="H49">
    <cfRule type="expression" dxfId="98" priority="3">
      <formula>$D$49="简单平均"</formula>
    </cfRule>
  </conditionalFormatting>
  <conditionalFormatting sqref="I53">
    <cfRule type="expression" dxfId="97" priority="7" stopIfTrue="1">
      <formula>$J$53="超过30%"</formula>
    </cfRule>
  </conditionalFormatting>
  <conditionalFormatting sqref="I54">
    <cfRule type="expression" dxfId="96" priority="6" stopIfTrue="1">
      <formula>$J$53+$J$54="超过20%"</formula>
    </cfRule>
  </conditionalFormatting>
  <conditionalFormatting sqref="I55">
    <cfRule type="expression" dxfId="95" priority="5" stopIfTrue="1">
      <formula>$J$55="超过30%"</formula>
    </cfRule>
  </conditionalFormatting>
  <conditionalFormatting sqref="J49">
    <cfRule type="expression" dxfId="94" priority="2">
      <formula>$D$49="简单平均"</formula>
    </cfRule>
  </conditionalFormatting>
  <conditionalFormatting sqref="J53:J55">
    <cfRule type="containsText" dxfId="93"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69.63</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860"/>
      <c r="M4" s="861"/>
      <c r="N4" s="861"/>
      <c r="O4" s="861"/>
      <c r="P4" s="3407" t="s">
        <v>1775</v>
      </c>
      <c r="Q4" s="3408"/>
      <c r="R4" s="3413" t="s">
        <v>1771</v>
      </c>
      <c r="S4" s="3414"/>
      <c r="T4" s="3413" t="s">
        <v>1772</v>
      </c>
      <c r="U4" s="3414"/>
      <c r="V4" s="3389" t="s">
        <v>1773</v>
      </c>
      <c r="W4" s="3389"/>
      <c r="X4" s="1265"/>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860"/>
      <c r="M5" s="861"/>
      <c r="N5" s="861"/>
      <c r="O5" s="861"/>
      <c r="P5" s="3409"/>
      <c r="Q5" s="3410"/>
      <c r="R5" s="3415"/>
      <c r="S5" s="3416"/>
      <c r="T5" s="3415"/>
      <c r="U5" s="3416"/>
      <c r="V5" s="3389"/>
      <c r="W5" s="3389"/>
      <c r="X5" s="1265"/>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860"/>
      <c r="M6" s="861"/>
      <c r="N6" s="861"/>
      <c r="O6" s="861"/>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45247</v>
      </c>
      <c r="D7" s="355">
        <v>100</v>
      </c>
      <c r="E7" s="356"/>
      <c r="F7" s="357">
        <f>SUMIF(52:52,YEAR(E7)&amp;"-"&amp;MONTH(E7),53:53)</f>
        <v>0</v>
      </c>
      <c r="G7" s="356"/>
      <c r="H7" s="355">
        <f>SUMIF(52:52,YEAR(G7)&amp;"-"&amp;MONTH(G7),53:53)</f>
        <v>0</v>
      </c>
      <c r="I7" s="356"/>
      <c r="J7" s="355">
        <f>SUMIF(52:52,YEAR(I7)&amp;"-"&amp;MONTH(I7),53:53)</f>
        <v>0</v>
      </c>
      <c r="K7" s="38"/>
      <c r="L7" s="862"/>
      <c r="M7" s="863"/>
      <c r="N7" s="863"/>
      <c r="O7" s="863"/>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23" t="s">
        <v>1683</v>
      </c>
      <c r="Q8" s="3424"/>
      <c r="R8" s="664" t="s">
        <v>14</v>
      </c>
      <c r="S8" s="665">
        <f t="shared" si="0"/>
        <v>100</v>
      </c>
      <c r="T8" s="664" t="s">
        <v>14</v>
      </c>
      <c r="U8" s="665">
        <f t="shared" si="1"/>
        <v>100</v>
      </c>
      <c r="V8" s="664" t="s">
        <v>14</v>
      </c>
      <c r="W8" s="665">
        <f t="shared" si="2"/>
        <v>100</v>
      </c>
      <c r="X8" s="666"/>
      <c r="Y8" s="3423" t="s">
        <v>1683</v>
      </c>
      <c r="Z8" s="3424"/>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88"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7">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5"/>
      <c r="M10" s="866"/>
      <c r="N10" s="866"/>
      <c r="O10" s="867"/>
      <c r="P10" s="3388"/>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88"/>
      <c r="Q11" s="530" t="str">
        <f t="shared" si="6"/>
        <v>容积率</v>
      </c>
      <c r="R11" s="664" t="s">
        <v>14</v>
      </c>
      <c r="S11" s="665">
        <f t="shared" si="0"/>
        <v>100</v>
      </c>
      <c r="T11" s="664" t="s">
        <v>14</v>
      </c>
      <c r="U11" s="665">
        <f t="shared" si="1"/>
        <v>100</v>
      </c>
      <c r="V11" s="664" t="s">
        <v>14</v>
      </c>
      <c r="W11" s="665">
        <f t="shared" si="2"/>
        <v>100</v>
      </c>
      <c r="X11" s="666"/>
      <c r="Y11" s="326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88"/>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88"/>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88"/>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90" t="s">
        <v>1691</v>
      </c>
      <c r="Q15" s="1263" t="str">
        <f t="shared" si="6"/>
        <v>产业集聚程度</v>
      </c>
      <c r="R15" s="667" t="s">
        <v>14</v>
      </c>
      <c r="S15" s="668">
        <f t="shared" si="0"/>
        <v>100</v>
      </c>
      <c r="T15" s="667" t="s">
        <v>14</v>
      </c>
      <c r="U15" s="668">
        <f t="shared" si="1"/>
        <v>100</v>
      </c>
      <c r="V15" s="667" t="s">
        <v>14</v>
      </c>
      <c r="W15" s="668">
        <f t="shared" si="2"/>
        <v>100</v>
      </c>
      <c r="X15" s="1265"/>
      <c r="Y15" s="3390"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91"/>
      <c r="Q16" s="1263"/>
      <c r="R16" s="667"/>
      <c r="S16" s="668"/>
      <c r="T16" s="667"/>
      <c r="U16" s="668"/>
      <c r="V16" s="667"/>
      <c r="W16" s="668"/>
      <c r="X16" s="1265"/>
      <c r="Y16" s="3391"/>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91"/>
      <c r="Q17" s="1263" t="str">
        <f>B17</f>
        <v>交通便捷度</v>
      </c>
      <c r="R17" s="667" t="s">
        <v>14</v>
      </c>
      <c r="S17" s="668">
        <f>F17</f>
        <v>100</v>
      </c>
      <c r="T17" s="667" t="s">
        <v>14</v>
      </c>
      <c r="U17" s="668">
        <f>H17</f>
        <v>100</v>
      </c>
      <c r="V17" s="667" t="s">
        <v>14</v>
      </c>
      <c r="W17" s="668">
        <f>J17</f>
        <v>100</v>
      </c>
      <c r="X17" s="1265"/>
      <c r="Y17" s="339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91"/>
      <c r="Q18" s="1263"/>
      <c r="R18" s="667"/>
      <c r="S18" s="668"/>
      <c r="T18" s="667"/>
      <c r="U18" s="668"/>
      <c r="V18" s="667"/>
      <c r="W18" s="668"/>
      <c r="X18" s="1265"/>
      <c r="Y18" s="3391"/>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91"/>
      <c r="Q19" s="1263" t="str">
        <f>B19</f>
        <v>公共配套设施</v>
      </c>
      <c r="R19" s="667" t="s">
        <v>14</v>
      </c>
      <c r="S19" s="668">
        <f>F19</f>
        <v>100</v>
      </c>
      <c r="T19" s="667" t="s">
        <v>14</v>
      </c>
      <c r="U19" s="668">
        <f>H19</f>
        <v>100</v>
      </c>
      <c r="V19" s="667" t="s">
        <v>14</v>
      </c>
      <c r="W19" s="668">
        <f>J19</f>
        <v>100</v>
      </c>
      <c r="X19" s="1265"/>
      <c r="Y19" s="339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91"/>
      <c r="Q20" s="1263"/>
      <c r="R20" s="667"/>
      <c r="S20" s="668"/>
      <c r="T20" s="667"/>
      <c r="U20" s="668"/>
      <c r="V20" s="667"/>
      <c r="W20" s="668"/>
      <c r="X20" s="1265"/>
      <c r="Y20" s="3391"/>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91"/>
      <c r="Q21" s="1263" t="str">
        <f>B21</f>
        <v>基础设施水平</v>
      </c>
      <c r="R21" s="667" t="s">
        <v>14</v>
      </c>
      <c r="S21" s="668">
        <f>F21</f>
        <v>100</v>
      </c>
      <c r="T21" s="667" t="s">
        <v>14</v>
      </c>
      <c r="U21" s="668">
        <f>H21</f>
        <v>100</v>
      </c>
      <c r="V21" s="667" t="s">
        <v>14</v>
      </c>
      <c r="W21" s="668">
        <f>J21</f>
        <v>100</v>
      </c>
      <c r="X21" s="1265"/>
      <c r="Y21" s="339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91"/>
      <c r="Q22" s="1263"/>
      <c r="R22" s="667"/>
      <c r="S22" s="668"/>
      <c r="T22" s="667"/>
      <c r="U22" s="668"/>
      <c r="V22" s="667"/>
      <c r="W22" s="668"/>
      <c r="X22" s="1265"/>
      <c r="Y22" s="3391"/>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91"/>
      <c r="Q23" s="1263" t="str">
        <f>B23</f>
        <v>环境质量</v>
      </c>
      <c r="R23" s="667" t="s">
        <v>14</v>
      </c>
      <c r="S23" s="668">
        <f>F23</f>
        <v>100</v>
      </c>
      <c r="T23" s="667" t="s">
        <v>14</v>
      </c>
      <c r="U23" s="668">
        <f>H23</f>
        <v>100</v>
      </c>
      <c r="V23" s="667" t="s">
        <v>14</v>
      </c>
      <c r="W23" s="668">
        <f>J23</f>
        <v>100</v>
      </c>
      <c r="X23" s="1265"/>
      <c r="Y23" s="3391"/>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91"/>
      <c r="Q24" s="1263"/>
      <c r="R24" s="667"/>
      <c r="S24" s="668"/>
      <c r="T24" s="667"/>
      <c r="U24" s="668"/>
      <c r="V24" s="667"/>
      <c r="W24" s="668"/>
      <c r="X24" s="1265"/>
      <c r="Y24" s="3391"/>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91"/>
      <c r="Q25" s="1263">
        <f>B25</f>
        <v>111</v>
      </c>
      <c r="R25" s="667" t="s">
        <v>14</v>
      </c>
      <c r="S25" s="668">
        <f>F25</f>
        <v>100</v>
      </c>
      <c r="T25" s="667" t="s">
        <v>14</v>
      </c>
      <c r="U25" s="668">
        <f>H25</f>
        <v>100</v>
      </c>
      <c r="V25" s="667" t="s">
        <v>14</v>
      </c>
      <c r="W25" s="668">
        <f>J25</f>
        <v>100</v>
      </c>
      <c r="X25" s="1265"/>
      <c r="Y25" s="3391"/>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91"/>
      <c r="Q26" s="1263">
        <f t="shared" ref="Q26:Q40" si="11">B26</f>
        <v>111</v>
      </c>
      <c r="R26" s="667" t="s">
        <v>14</v>
      </c>
      <c r="S26" s="668">
        <f>F26</f>
        <v>100</v>
      </c>
      <c r="T26" s="667" t="s">
        <v>14</v>
      </c>
      <c r="U26" s="668">
        <f>H26</f>
        <v>100</v>
      </c>
      <c r="V26" s="667" t="s">
        <v>14</v>
      </c>
      <c r="W26" s="668">
        <f>J26</f>
        <v>100</v>
      </c>
      <c r="X26" s="1265"/>
      <c r="Y26" s="3391"/>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91"/>
      <c r="Q27" s="530">
        <f t="shared" si="11"/>
        <v>111</v>
      </c>
      <c r="R27" s="664" t="s">
        <v>14</v>
      </c>
      <c r="S27" s="665">
        <f>F27</f>
        <v>100</v>
      </c>
      <c r="T27" s="664" t="s">
        <v>14</v>
      </c>
      <c r="U27" s="665">
        <f>H27</f>
        <v>100</v>
      </c>
      <c r="V27" s="664" t="s">
        <v>14</v>
      </c>
      <c r="W27" s="665">
        <f>J27</f>
        <v>100</v>
      </c>
      <c r="X27" s="666"/>
      <c r="Y27" s="3391"/>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91"/>
      <c r="Q28" s="1263">
        <f t="shared" si="11"/>
        <v>111</v>
      </c>
      <c r="R28" s="667" t="s">
        <v>14</v>
      </c>
      <c r="S28" s="668">
        <f t="shared" ref="S28:S40" si="12">F28</f>
        <v>100</v>
      </c>
      <c r="T28" s="667" t="s">
        <v>14</v>
      </c>
      <c r="U28" s="668">
        <f t="shared" ref="U28:U40" si="13">H28</f>
        <v>100</v>
      </c>
      <c r="V28" s="667" t="s">
        <v>14</v>
      </c>
      <c r="W28" s="668">
        <f t="shared" ref="W28:W40" si="14">J28</f>
        <v>100</v>
      </c>
      <c r="X28" s="1265"/>
      <c r="Y28" s="3391"/>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45" t="s">
        <v>1696</v>
      </c>
      <c r="Q29" s="1263" t="str">
        <f t="shared" si="11"/>
        <v>建筑类型</v>
      </c>
      <c r="R29" s="667" t="s">
        <v>14</v>
      </c>
      <c r="S29" s="668">
        <f t="shared" si="12"/>
        <v>100</v>
      </c>
      <c r="T29" s="667" t="s">
        <v>14</v>
      </c>
      <c r="U29" s="668">
        <f t="shared" si="13"/>
        <v>100</v>
      </c>
      <c r="V29" s="667" t="s">
        <v>14</v>
      </c>
      <c r="W29" s="668">
        <f t="shared" si="14"/>
        <v>100</v>
      </c>
      <c r="X29" s="1265"/>
      <c r="Y29" s="3395"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5"/>
      <c r="Q30" s="531" t="str">
        <f t="shared" si="11"/>
        <v>项目建筑规模</v>
      </c>
      <c r="R30" s="669" t="s">
        <v>14</v>
      </c>
      <c r="S30" s="670" t="e">
        <f t="shared" si="12"/>
        <v>#N/A</v>
      </c>
      <c r="T30" s="669" t="s">
        <v>14</v>
      </c>
      <c r="U30" s="670" t="e">
        <f t="shared" si="13"/>
        <v>#N/A</v>
      </c>
      <c r="V30" s="669" t="s">
        <v>14</v>
      </c>
      <c r="W30" s="670" t="e">
        <f t="shared" si="14"/>
        <v>#N/A</v>
      </c>
      <c r="X30" s="671"/>
      <c r="Y30" s="3395"/>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5"/>
      <c r="Q31" s="1263" t="str">
        <f t="shared" si="11"/>
        <v>建筑结构</v>
      </c>
      <c r="R31" s="667" t="s">
        <v>14</v>
      </c>
      <c r="S31" s="668">
        <f t="shared" si="12"/>
        <v>100</v>
      </c>
      <c r="T31" s="667" t="s">
        <v>14</v>
      </c>
      <c r="U31" s="668">
        <f t="shared" si="13"/>
        <v>100</v>
      </c>
      <c r="V31" s="667" t="s">
        <v>14</v>
      </c>
      <c r="W31" s="668">
        <f t="shared" si="14"/>
        <v>100</v>
      </c>
      <c r="X31" s="1265"/>
      <c r="Y31" s="3395"/>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5"/>
      <c r="Q32" s="1263" t="str">
        <f t="shared" si="11"/>
        <v>公共部分装修</v>
      </c>
      <c r="R32" s="667" t="s">
        <v>14</v>
      </c>
      <c r="S32" s="668">
        <f t="shared" si="12"/>
        <v>100</v>
      </c>
      <c r="T32" s="667" t="s">
        <v>14</v>
      </c>
      <c r="U32" s="668">
        <f t="shared" si="13"/>
        <v>100</v>
      </c>
      <c r="V32" s="667" t="s">
        <v>14</v>
      </c>
      <c r="W32" s="668">
        <f t="shared" si="14"/>
        <v>100</v>
      </c>
      <c r="X32" s="1265"/>
      <c r="Y32" s="3395"/>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5"/>
      <c r="Q33" s="1263" t="str">
        <f t="shared" si="11"/>
        <v>成新度</v>
      </c>
      <c r="R33" s="667" t="s">
        <v>14</v>
      </c>
      <c r="S33" s="668" t="e">
        <f t="shared" si="12"/>
        <v>#N/A</v>
      </c>
      <c r="T33" s="667" t="s">
        <v>14</v>
      </c>
      <c r="U33" s="668" t="e">
        <f t="shared" si="13"/>
        <v>#N/A</v>
      </c>
      <c r="V33" s="667" t="s">
        <v>14</v>
      </c>
      <c r="W33" s="668" t="e">
        <f t="shared" si="14"/>
        <v>#N/A</v>
      </c>
      <c r="X33" s="1265"/>
      <c r="Y33" s="3395"/>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5"/>
      <c r="Q34" s="530" t="str">
        <f t="shared" si="11"/>
        <v>物业管理</v>
      </c>
      <c r="R34" s="664" t="s">
        <v>14</v>
      </c>
      <c r="S34" s="665">
        <f t="shared" si="12"/>
        <v>100</v>
      </c>
      <c r="T34" s="664" t="s">
        <v>14</v>
      </c>
      <c r="U34" s="665">
        <f t="shared" si="13"/>
        <v>100</v>
      </c>
      <c r="V34" s="664" t="s">
        <v>14</v>
      </c>
      <c r="W34" s="665">
        <f t="shared" si="14"/>
        <v>100</v>
      </c>
      <c r="X34" s="666"/>
      <c r="Y34" s="3395"/>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5" t="s">
        <v>1696</v>
      </c>
      <c r="Q35" s="1263" t="str">
        <f t="shared" si="11"/>
        <v>市政基础设施</v>
      </c>
      <c r="R35" s="667" t="s">
        <v>14</v>
      </c>
      <c r="S35" s="668">
        <f t="shared" si="12"/>
        <v>100</v>
      </c>
      <c r="T35" s="667" t="s">
        <v>14</v>
      </c>
      <c r="U35" s="668">
        <f t="shared" si="13"/>
        <v>100</v>
      </c>
      <c r="V35" s="667" t="s">
        <v>14</v>
      </c>
      <c r="W35" s="668">
        <f t="shared" si="14"/>
        <v>100</v>
      </c>
      <c r="X35" s="1265"/>
      <c r="Y35" s="3395"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5"/>
      <c r="Q36" s="1263" t="str">
        <f t="shared" si="11"/>
        <v>内部装修</v>
      </c>
      <c r="R36" s="667" t="s">
        <v>14</v>
      </c>
      <c r="S36" s="668">
        <f t="shared" si="12"/>
        <v>100</v>
      </c>
      <c r="T36" s="667" t="s">
        <v>14</v>
      </c>
      <c r="U36" s="668">
        <f t="shared" si="13"/>
        <v>100</v>
      </c>
      <c r="V36" s="667" t="s">
        <v>14</v>
      </c>
      <c r="W36" s="668">
        <f t="shared" si="14"/>
        <v>100</v>
      </c>
      <c r="X36" s="1265"/>
      <c r="Y36" s="3395"/>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5"/>
      <c r="Q37" s="1263" t="str">
        <f t="shared" si="11"/>
        <v>内部装修状况</v>
      </c>
      <c r="R37" s="667" t="s">
        <v>14</v>
      </c>
      <c r="S37" s="668">
        <f t="shared" si="12"/>
        <v>100</v>
      </c>
      <c r="T37" s="667" t="s">
        <v>14</v>
      </c>
      <c r="U37" s="668">
        <f t="shared" si="13"/>
        <v>100</v>
      </c>
      <c r="V37" s="667" t="s">
        <v>14</v>
      </c>
      <c r="W37" s="668">
        <f t="shared" si="14"/>
        <v>100</v>
      </c>
      <c r="X37" s="1265"/>
      <c r="Y37" s="3395"/>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5"/>
      <c r="Q38" s="531">
        <f t="shared" si="11"/>
        <v>111</v>
      </c>
      <c r="R38" s="669" t="s">
        <v>14</v>
      </c>
      <c r="S38" s="670">
        <f t="shared" si="12"/>
        <v>100</v>
      </c>
      <c r="T38" s="669" t="s">
        <v>14</v>
      </c>
      <c r="U38" s="670">
        <f t="shared" si="13"/>
        <v>100</v>
      </c>
      <c r="V38" s="669" t="s">
        <v>14</v>
      </c>
      <c r="W38" s="670">
        <f t="shared" si="14"/>
        <v>100</v>
      </c>
      <c r="X38" s="671"/>
      <c r="Y38" s="3395"/>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5"/>
      <c r="Q39" s="1263">
        <f t="shared" si="11"/>
        <v>111</v>
      </c>
      <c r="R39" s="667" t="s">
        <v>14</v>
      </c>
      <c r="S39" s="668">
        <f t="shared" si="12"/>
        <v>100</v>
      </c>
      <c r="T39" s="667" t="s">
        <v>14</v>
      </c>
      <c r="U39" s="668">
        <f t="shared" si="13"/>
        <v>100</v>
      </c>
      <c r="V39" s="667" t="s">
        <v>14</v>
      </c>
      <c r="W39" s="668">
        <f t="shared" si="14"/>
        <v>100</v>
      </c>
      <c r="X39" s="1265"/>
      <c r="Y39" s="3395"/>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6"/>
      <c r="Q40" s="1263">
        <f t="shared" si="11"/>
        <v>111</v>
      </c>
      <c r="R40" s="667" t="s">
        <v>14</v>
      </c>
      <c r="S40" s="668">
        <f t="shared" si="12"/>
        <v>100</v>
      </c>
      <c r="T40" s="667" t="s">
        <v>14</v>
      </c>
      <c r="U40" s="668">
        <f t="shared" si="13"/>
        <v>100</v>
      </c>
      <c r="V40" s="667" t="s">
        <v>14</v>
      </c>
      <c r="W40" s="668">
        <f t="shared" si="14"/>
        <v>100</v>
      </c>
      <c r="X40" s="1265"/>
      <c r="Y40" s="3396"/>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388" t="str">
        <f>A41</f>
        <v>成交单价（元/平方米）</v>
      </c>
      <c r="Q41" s="3388"/>
      <c r="R41" s="3389">
        <f>E41</f>
        <v>0</v>
      </c>
      <c r="S41" s="3389"/>
      <c r="T41" s="3389">
        <f>G41</f>
        <v>0</v>
      </c>
      <c r="U41" s="3389"/>
      <c r="V41" s="3389">
        <f>I41</f>
        <v>0</v>
      </c>
      <c r="W41" s="3389"/>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388" t="str">
        <f>A42</f>
        <v>比较价值（元/平方米）</v>
      </c>
      <c r="Q42" s="3388"/>
      <c r="R42" s="3389" t="e">
        <f>IF(F1="售价",ROUND(PRODUCT(R41,AA7:AA40),0),ROUND(PRODUCT(R41,AA7:AA40),1))</f>
        <v>#DIV/0!</v>
      </c>
      <c r="S42" s="3389"/>
      <c r="T42" s="3389" t="e">
        <f>IF(F1="售价",ROUND(PRODUCT(T41,AB7:AB40),0),ROUND(PRODUCT(T41,AB7:AB40),1))</f>
        <v>#DIV/0!</v>
      </c>
      <c r="U42" s="3389"/>
      <c r="V42" s="3389" t="e">
        <f>IF(F1="售价",ROUND(PRODUCT(V41,AC7:AC40),0),ROUND(PRODUCT(V41,AC7:AC40),1))</f>
        <v>#DIV/0!</v>
      </c>
      <c r="W42" s="3389"/>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85" t="str">
        <f>A43</f>
        <v>估价对象XX用房的比较价值（楼面单价，元/平方米）</v>
      </c>
      <c r="Q43" s="3386"/>
      <c r="R43" s="3387" t="e">
        <f>IF(F1="售价",ROUND(IF(D42="简单平均",AVERAGE(R42:V42),R42*F42+T42*H42+V42*J42),0),ROUND(IF(D42="简单平均",AVERAGE(R42:V42),R42*F42+T42*H42+V42*J42),1))</f>
        <v>#DIV/0!</v>
      </c>
      <c r="S43" s="3387"/>
      <c r="T43" s="3387"/>
      <c r="U43" s="3387"/>
      <c r="V43" s="3387"/>
      <c r="W43" s="3387"/>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2023-11</v>
      </c>
      <c r="D52" s="1104">
        <f>EDATE(C52,-1)</f>
        <v>45200</v>
      </c>
      <c r="E52" s="1104">
        <f t="shared" ref="E52:O52" si="16">EDATE(D52,-1)</f>
        <v>45170</v>
      </c>
      <c r="F52" s="1104">
        <f t="shared" si="16"/>
        <v>45139</v>
      </c>
      <c r="G52" s="1104">
        <f t="shared" si="16"/>
        <v>45108</v>
      </c>
      <c r="H52" s="1104">
        <f t="shared" si="16"/>
        <v>45078</v>
      </c>
      <c r="I52" s="1104">
        <f t="shared" si="16"/>
        <v>45047</v>
      </c>
      <c r="J52" s="1104">
        <f t="shared" si="16"/>
        <v>45017</v>
      </c>
      <c r="K52" s="1104">
        <f t="shared" si="16"/>
        <v>44986</v>
      </c>
      <c r="L52" s="1104">
        <f t="shared" si="16"/>
        <v>44958</v>
      </c>
      <c r="M52" s="1104">
        <f t="shared" si="16"/>
        <v>44927</v>
      </c>
      <c r="N52" s="1104">
        <f t="shared" si="16"/>
        <v>44896</v>
      </c>
      <c r="O52" s="1104">
        <f t="shared" si="16"/>
        <v>44866</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6"/>
      <c r="O54" s="2537"/>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92" priority="16" stopIfTrue="1">
      <formula>$F$46="超过30%"</formula>
    </cfRule>
  </conditionalFormatting>
  <conditionalFormatting sqref="E47">
    <cfRule type="expression" dxfId="91" priority="15" stopIfTrue="1">
      <formula>$F$47="超过20%"</formula>
    </cfRule>
  </conditionalFormatting>
  <conditionalFormatting sqref="E48">
    <cfRule type="expression" dxfId="90" priority="14" stopIfTrue="1">
      <formula>$F$48="超过30%"</formula>
    </cfRule>
  </conditionalFormatting>
  <conditionalFormatting sqref="F7:F40 H7:H40 J7:J40">
    <cfRule type="cellIs" dxfId="89" priority="1" operator="notEqual">
      <formula>100</formula>
    </cfRule>
  </conditionalFormatting>
  <conditionalFormatting sqref="F42">
    <cfRule type="expression" dxfId="88" priority="4">
      <formula>$D$42="简单平均"</formula>
    </cfRule>
  </conditionalFormatting>
  <conditionalFormatting sqref="F46:F48 H46:H48">
    <cfRule type="containsText" dxfId="87" priority="17" stopIfTrue="1" operator="containsText" text="超过">
      <formula>NOT(ISERROR(SEARCH("超过",F46)))</formula>
    </cfRule>
  </conditionalFormatting>
  <conditionalFormatting sqref="G46">
    <cfRule type="expression" dxfId="86" priority="12" stopIfTrue="1">
      <formula>$H$46="超过30%"</formula>
    </cfRule>
  </conditionalFormatting>
  <conditionalFormatting sqref="G47">
    <cfRule type="expression" dxfId="85" priority="11" stopIfTrue="1">
      <formula>$H$47="超过20%"</formula>
    </cfRule>
  </conditionalFormatting>
  <conditionalFormatting sqref="G48">
    <cfRule type="expression" dxfId="84" priority="13" stopIfTrue="1">
      <formula>$H$48="超过30%"</formula>
    </cfRule>
  </conditionalFormatting>
  <conditionalFormatting sqref="H42">
    <cfRule type="expression" dxfId="83" priority="3">
      <formula>$D$42="简单平均"</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J42">
    <cfRule type="expression" dxfId="79" priority="2">
      <formula>$D$42="简单平均"</formula>
    </cfRule>
  </conditionalFormatting>
  <conditionalFormatting sqref="J46:J48">
    <cfRule type="containsText" dxfId="78"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3336</v>
      </c>
      <c r="C1" s="1141" t="s">
        <v>1662</v>
      </c>
      <c r="D1" s="1142"/>
      <c r="E1" s="3129"/>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5"/>
      <c r="M4" s="2486"/>
      <c r="N4" s="2486"/>
      <c r="O4" s="2486"/>
      <c r="P4" s="3407" t="s">
        <v>1775</v>
      </c>
      <c r="Q4" s="3408"/>
      <c r="R4" s="3413" t="s">
        <v>1771</v>
      </c>
      <c r="S4" s="3414"/>
      <c r="T4" s="3413" t="s">
        <v>1772</v>
      </c>
      <c r="U4" s="3414"/>
      <c r="V4" s="3389" t="s">
        <v>1773</v>
      </c>
      <c r="W4" s="3389"/>
      <c r="X4" s="1265"/>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5"/>
      <c r="M5" s="2486"/>
      <c r="N5" s="2486"/>
      <c r="O5" s="2486"/>
      <c r="P5" s="3409"/>
      <c r="Q5" s="3410"/>
      <c r="R5" s="3415"/>
      <c r="S5" s="3416"/>
      <c r="T5" s="3415"/>
      <c r="U5" s="3416"/>
      <c r="V5" s="3389"/>
      <c r="W5" s="3389"/>
      <c r="X5" s="1265"/>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2485"/>
      <c r="M6" s="2486"/>
      <c r="N6" s="2486"/>
      <c r="O6" s="2486"/>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45247</v>
      </c>
      <c r="D7" s="355">
        <v>100</v>
      </c>
      <c r="E7" s="356"/>
      <c r="F7" s="357">
        <f>SUMIF(48:48,YEAR(E7)&amp;"-"&amp;MONTH(E7),49:49)</f>
        <v>0</v>
      </c>
      <c r="G7" s="356"/>
      <c r="H7" s="355">
        <f>SUMIF(48:48,YEAR(G7)&amp;"-"&amp;MONTH(G7),49:49)</f>
        <v>0</v>
      </c>
      <c r="I7" s="356"/>
      <c r="J7" s="355">
        <f>SUMIF(48:48,YEAR(I7)&amp;"-"&amp;MONTH(I7),49:49)</f>
        <v>0</v>
      </c>
      <c r="K7" s="38"/>
      <c r="L7" s="2487"/>
      <c r="M7" s="2438"/>
      <c r="N7" s="2438"/>
      <c r="O7" s="2438"/>
      <c r="P7" s="3423" t="s">
        <v>1680</v>
      </c>
      <c r="Q7" s="3425"/>
      <c r="R7" s="664" t="s">
        <v>14</v>
      </c>
      <c r="S7" s="665">
        <f t="shared" ref="S7:S14" si="0">F7</f>
        <v>0</v>
      </c>
      <c r="T7" s="664" t="s">
        <v>14</v>
      </c>
      <c r="U7" s="665">
        <f t="shared" ref="U7:U14" si="1">H7</f>
        <v>0</v>
      </c>
      <c r="V7" s="664" t="s">
        <v>14</v>
      </c>
      <c r="W7" s="665">
        <f t="shared" ref="W7:W14"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423" t="s">
        <v>1683</v>
      </c>
      <c r="Q8" s="3424"/>
      <c r="R8" s="664" t="s">
        <v>14</v>
      </c>
      <c r="S8" s="665">
        <f t="shared" si="0"/>
        <v>100</v>
      </c>
      <c r="T8" s="664" t="s">
        <v>14</v>
      </c>
      <c r="U8" s="665">
        <f t="shared" si="1"/>
        <v>100</v>
      </c>
      <c r="V8" s="664" t="s">
        <v>14</v>
      </c>
      <c r="W8" s="665">
        <f t="shared" si="2"/>
        <v>100</v>
      </c>
      <c r="X8" s="666"/>
      <c r="Y8" s="3423" t="s">
        <v>1683</v>
      </c>
      <c r="Z8" s="3424"/>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388" t="s">
        <v>1686</v>
      </c>
      <c r="Q9" s="530" t="str">
        <f t="shared" ref="Q9:Q14" si="6">B9</f>
        <v>用途</v>
      </c>
      <c r="R9" s="664" t="s">
        <v>14</v>
      </c>
      <c r="S9" s="665">
        <f t="shared" si="0"/>
        <v>100</v>
      </c>
      <c r="T9" s="664" t="s">
        <v>14</v>
      </c>
      <c r="U9" s="665">
        <f t="shared" si="1"/>
        <v>100</v>
      </c>
      <c r="V9" s="664" t="s">
        <v>14</v>
      </c>
      <c r="W9" s="665">
        <f t="shared" si="2"/>
        <v>100</v>
      </c>
      <c r="X9" s="666"/>
      <c r="Y9" s="3263" t="s">
        <v>1687</v>
      </c>
      <c r="Z9" s="50" t="str">
        <f t="shared" ref="Z9:Z14" si="7">Q9</f>
        <v>用途</v>
      </c>
      <c r="AA9" s="50">
        <f t="shared" si="3"/>
        <v>1</v>
      </c>
      <c r="AB9" s="50">
        <f t="shared" si="4"/>
        <v>1</v>
      </c>
      <c r="AC9" s="50">
        <f t="shared" si="5"/>
        <v>1</v>
      </c>
    </row>
    <row r="10" spans="1:29" s="366" customFormat="1" ht="27">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8"/>
      <c r="M10" s="2489"/>
      <c r="N10" s="2489"/>
      <c r="O10" s="2489"/>
      <c r="P10" s="3388"/>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88"/>
      <c r="Q11" s="530">
        <f t="shared" si="6"/>
        <v>111</v>
      </c>
      <c r="R11" s="664" t="s">
        <v>14</v>
      </c>
      <c r="S11" s="665">
        <f t="shared" si="0"/>
        <v>100</v>
      </c>
      <c r="T11" s="664" t="s">
        <v>14</v>
      </c>
      <c r="U11" s="665">
        <f t="shared" si="1"/>
        <v>100</v>
      </c>
      <c r="V11" s="664" t="s">
        <v>14</v>
      </c>
      <c r="W11" s="665">
        <f t="shared" si="2"/>
        <v>100</v>
      </c>
      <c r="X11" s="666"/>
      <c r="Y11" s="326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388"/>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88"/>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85.5">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90" t="s">
        <v>1691</v>
      </c>
      <c r="Q14" s="1263" t="str">
        <f t="shared" si="6"/>
        <v>交通便捷度</v>
      </c>
      <c r="R14" s="667" t="s">
        <v>14</v>
      </c>
      <c r="S14" s="668">
        <f t="shared" si="0"/>
        <v>100</v>
      </c>
      <c r="T14" s="667" t="s">
        <v>14</v>
      </c>
      <c r="U14" s="668">
        <f t="shared" si="1"/>
        <v>100</v>
      </c>
      <c r="V14" s="667" t="s">
        <v>14</v>
      </c>
      <c r="W14" s="668">
        <f t="shared" si="2"/>
        <v>100</v>
      </c>
      <c r="X14" s="1265"/>
      <c r="Y14" s="3390"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391"/>
      <c r="Q15" s="1263"/>
      <c r="R15" s="667"/>
      <c r="S15" s="668"/>
      <c r="T15" s="667"/>
      <c r="U15" s="668"/>
      <c r="V15" s="667"/>
      <c r="W15" s="668"/>
      <c r="X15" s="1265"/>
      <c r="Y15" s="3391"/>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91"/>
      <c r="Q16" s="1263" t="str">
        <f>B16</f>
        <v>公共配套设施</v>
      </c>
      <c r="R16" s="667" t="s">
        <v>14</v>
      </c>
      <c r="S16" s="668">
        <f>F16</f>
        <v>100</v>
      </c>
      <c r="T16" s="667" t="s">
        <v>14</v>
      </c>
      <c r="U16" s="668">
        <f>H16</f>
        <v>100</v>
      </c>
      <c r="V16" s="667" t="s">
        <v>14</v>
      </c>
      <c r="W16" s="668">
        <f>J16</f>
        <v>100</v>
      </c>
      <c r="X16" s="1265"/>
      <c r="Y16" s="3391"/>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391"/>
      <c r="Q17" s="1263"/>
      <c r="R17" s="667"/>
      <c r="S17" s="668"/>
      <c r="T17" s="667"/>
      <c r="U17" s="668"/>
      <c r="V17" s="667"/>
      <c r="W17" s="668"/>
      <c r="X17" s="1265"/>
      <c r="Y17" s="3391"/>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91"/>
      <c r="Q18" s="1263" t="str">
        <f>B18</f>
        <v>基础设施水平</v>
      </c>
      <c r="R18" s="667" t="s">
        <v>14</v>
      </c>
      <c r="S18" s="668">
        <f>F18</f>
        <v>100</v>
      </c>
      <c r="T18" s="667" t="s">
        <v>14</v>
      </c>
      <c r="U18" s="668">
        <f>H18</f>
        <v>100</v>
      </c>
      <c r="V18" s="667" t="s">
        <v>14</v>
      </c>
      <c r="W18" s="668">
        <f>J18</f>
        <v>100</v>
      </c>
      <c r="X18" s="1265"/>
      <c r="Y18" s="3391"/>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391"/>
      <c r="Q19" s="1263"/>
      <c r="R19" s="667"/>
      <c r="S19" s="668"/>
      <c r="T19" s="667"/>
      <c r="U19" s="668"/>
      <c r="V19" s="667"/>
      <c r="W19" s="668"/>
      <c r="X19" s="1265"/>
      <c r="Y19" s="3391"/>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91"/>
      <c r="Q20" s="1263" t="str">
        <f>B20</f>
        <v>自然及人文环境</v>
      </c>
      <c r="R20" s="667" t="s">
        <v>14</v>
      </c>
      <c r="S20" s="668">
        <f>F20</f>
        <v>100</v>
      </c>
      <c r="T20" s="667" t="s">
        <v>14</v>
      </c>
      <c r="U20" s="668">
        <f>H20</f>
        <v>100</v>
      </c>
      <c r="V20" s="667" t="s">
        <v>14</v>
      </c>
      <c r="W20" s="668">
        <f>J20</f>
        <v>100</v>
      </c>
      <c r="X20" s="1265"/>
      <c r="Y20" s="3391"/>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391"/>
      <c r="Q21" s="1263"/>
      <c r="R21" s="667"/>
      <c r="S21" s="668"/>
      <c r="T21" s="667"/>
      <c r="U21" s="668"/>
      <c r="V21" s="667"/>
      <c r="W21" s="668"/>
      <c r="X21" s="1265"/>
      <c r="Y21" s="3391"/>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91"/>
      <c r="Q22" s="1263" t="str">
        <f>B22</f>
        <v>楼层</v>
      </c>
      <c r="R22" s="667" t="s">
        <v>14</v>
      </c>
      <c r="S22" s="668">
        <f>F22</f>
        <v>100</v>
      </c>
      <c r="T22" s="667" t="s">
        <v>14</v>
      </c>
      <c r="U22" s="668">
        <f>H22</f>
        <v>100</v>
      </c>
      <c r="V22" s="667" t="s">
        <v>14</v>
      </c>
      <c r="W22" s="668">
        <f>J22</f>
        <v>100</v>
      </c>
      <c r="X22" s="1265"/>
      <c r="Y22" s="3391"/>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91"/>
      <c r="Q23" s="1263">
        <f>B23</f>
        <v>111</v>
      </c>
      <c r="R23" s="667" t="s">
        <v>14</v>
      </c>
      <c r="S23" s="668">
        <f>F23</f>
        <v>100</v>
      </c>
      <c r="T23" s="667" t="s">
        <v>14</v>
      </c>
      <c r="U23" s="668">
        <f>H23</f>
        <v>100</v>
      </c>
      <c r="V23" s="667" t="s">
        <v>14</v>
      </c>
      <c r="W23" s="668">
        <f>J23</f>
        <v>100</v>
      </c>
      <c r="X23" s="1265"/>
      <c r="Y23" s="3391"/>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91"/>
      <c r="Q24" s="1263">
        <f t="shared" ref="Q24:Q36" si="11">B24</f>
        <v>111</v>
      </c>
      <c r="R24" s="667" t="s">
        <v>14</v>
      </c>
      <c r="S24" s="668">
        <f>F24</f>
        <v>100</v>
      </c>
      <c r="T24" s="667" t="s">
        <v>14</v>
      </c>
      <c r="U24" s="668">
        <f>H24</f>
        <v>100</v>
      </c>
      <c r="V24" s="667" t="s">
        <v>14</v>
      </c>
      <c r="W24" s="668">
        <f>J24</f>
        <v>100</v>
      </c>
      <c r="X24" s="1265"/>
      <c r="Y24" s="3391"/>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391"/>
      <c r="Q25" s="530">
        <f t="shared" si="11"/>
        <v>111</v>
      </c>
      <c r="R25" s="664" t="s">
        <v>14</v>
      </c>
      <c r="S25" s="665">
        <f>F25</f>
        <v>100</v>
      </c>
      <c r="T25" s="664" t="s">
        <v>14</v>
      </c>
      <c r="U25" s="665">
        <f>H25</f>
        <v>100</v>
      </c>
      <c r="V25" s="664" t="s">
        <v>14</v>
      </c>
      <c r="W25" s="665">
        <f>J25</f>
        <v>100</v>
      </c>
      <c r="X25" s="666"/>
      <c r="Y25" s="3391"/>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45"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95"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95"/>
      <c r="Q27" s="531" t="str">
        <f t="shared" si="11"/>
        <v>项目停车位配比</v>
      </c>
      <c r="R27" s="669" t="s">
        <v>14</v>
      </c>
      <c r="S27" s="670">
        <f t="shared" si="12"/>
        <v>100</v>
      </c>
      <c r="T27" s="669" t="s">
        <v>14</v>
      </c>
      <c r="U27" s="670">
        <f t="shared" si="13"/>
        <v>100</v>
      </c>
      <c r="V27" s="669" t="s">
        <v>14</v>
      </c>
      <c r="W27" s="670">
        <f t="shared" si="14"/>
        <v>100</v>
      </c>
      <c r="X27" s="671"/>
      <c r="Y27" s="3395"/>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95"/>
      <c r="Q28" s="1263" t="str">
        <f t="shared" si="11"/>
        <v>公共部分装修</v>
      </c>
      <c r="R28" s="667" t="s">
        <v>14</v>
      </c>
      <c r="S28" s="668">
        <f t="shared" si="12"/>
        <v>100</v>
      </c>
      <c r="T28" s="667" t="s">
        <v>14</v>
      </c>
      <c r="U28" s="668">
        <f t="shared" si="13"/>
        <v>100</v>
      </c>
      <c r="V28" s="667" t="s">
        <v>14</v>
      </c>
      <c r="W28" s="668">
        <f t="shared" si="14"/>
        <v>100</v>
      </c>
      <c r="X28" s="1265"/>
      <c r="Y28" s="3395"/>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95"/>
      <c r="Q29" s="1263" t="str">
        <f t="shared" si="11"/>
        <v>成新率</v>
      </c>
      <c r="R29" s="667" t="s">
        <v>14</v>
      </c>
      <c r="S29" s="668" t="e">
        <f t="shared" si="12"/>
        <v>#N/A</v>
      </c>
      <c r="T29" s="667" t="s">
        <v>14</v>
      </c>
      <c r="U29" s="668" t="e">
        <f t="shared" si="13"/>
        <v>#N/A</v>
      </c>
      <c r="V29" s="667" t="s">
        <v>14</v>
      </c>
      <c r="W29" s="668" t="e">
        <f t="shared" si="14"/>
        <v>#N/A</v>
      </c>
      <c r="X29" s="1265"/>
      <c r="Y29" s="3395"/>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95"/>
      <c r="Q30" s="1263" t="str">
        <f t="shared" si="11"/>
        <v>物业等级</v>
      </c>
      <c r="R30" s="667" t="s">
        <v>14</v>
      </c>
      <c r="S30" s="668">
        <f t="shared" si="12"/>
        <v>100</v>
      </c>
      <c r="T30" s="667" t="s">
        <v>14</v>
      </c>
      <c r="U30" s="668">
        <f t="shared" si="13"/>
        <v>100</v>
      </c>
      <c r="V30" s="667" t="s">
        <v>14</v>
      </c>
      <c r="W30" s="668">
        <f t="shared" si="14"/>
        <v>100</v>
      </c>
      <c r="X30" s="1265"/>
      <c r="Y30" s="3395"/>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395"/>
      <c r="Q31" s="530" t="str">
        <f t="shared" si="11"/>
        <v>停车位面积</v>
      </c>
      <c r="R31" s="664" t="s">
        <v>14</v>
      </c>
      <c r="S31" s="665" t="e">
        <f t="shared" si="12"/>
        <v>#N/A</v>
      </c>
      <c r="T31" s="664" t="s">
        <v>14</v>
      </c>
      <c r="U31" s="665" t="e">
        <f t="shared" si="13"/>
        <v>#N/A</v>
      </c>
      <c r="V31" s="664" t="s">
        <v>14</v>
      </c>
      <c r="W31" s="665" t="e">
        <f t="shared" si="14"/>
        <v>#N/A</v>
      </c>
      <c r="X31" s="666"/>
      <c r="Y31" s="3395"/>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95" t="s">
        <v>1696</v>
      </c>
      <c r="Q32" s="1263" t="str">
        <f t="shared" si="11"/>
        <v>车位类型</v>
      </c>
      <c r="R32" s="667" t="s">
        <v>14</v>
      </c>
      <c r="S32" s="668">
        <f t="shared" si="12"/>
        <v>100</v>
      </c>
      <c r="T32" s="667" t="s">
        <v>14</v>
      </c>
      <c r="U32" s="668">
        <f t="shared" si="13"/>
        <v>100</v>
      </c>
      <c r="V32" s="667" t="s">
        <v>14</v>
      </c>
      <c r="W32" s="668">
        <f t="shared" si="14"/>
        <v>100</v>
      </c>
      <c r="X32" s="1265"/>
      <c r="Y32" s="3395"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95"/>
      <c r="Q33" s="1263" t="str">
        <f t="shared" si="11"/>
        <v>是否直接入户</v>
      </c>
      <c r="R33" s="667" t="s">
        <v>14</v>
      </c>
      <c r="S33" s="668">
        <f t="shared" si="12"/>
        <v>100</v>
      </c>
      <c r="T33" s="667" t="s">
        <v>14</v>
      </c>
      <c r="U33" s="668">
        <f t="shared" si="13"/>
        <v>100</v>
      </c>
      <c r="V33" s="667" t="s">
        <v>14</v>
      </c>
      <c r="W33" s="668">
        <f t="shared" si="14"/>
        <v>100</v>
      </c>
      <c r="X33" s="1265"/>
      <c r="Y33" s="3395"/>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95"/>
      <c r="Q34" s="1263">
        <f t="shared" si="11"/>
        <v>111</v>
      </c>
      <c r="R34" s="667" t="s">
        <v>14</v>
      </c>
      <c r="S34" s="668">
        <f t="shared" si="12"/>
        <v>100</v>
      </c>
      <c r="T34" s="667" t="s">
        <v>14</v>
      </c>
      <c r="U34" s="668">
        <f t="shared" si="13"/>
        <v>100</v>
      </c>
      <c r="V34" s="667" t="s">
        <v>14</v>
      </c>
      <c r="W34" s="668">
        <f t="shared" si="14"/>
        <v>100</v>
      </c>
      <c r="X34" s="1265"/>
      <c r="Y34" s="3395"/>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95"/>
      <c r="Q35" s="531">
        <f t="shared" si="11"/>
        <v>111</v>
      </c>
      <c r="R35" s="669" t="s">
        <v>14</v>
      </c>
      <c r="S35" s="670">
        <f t="shared" si="12"/>
        <v>100</v>
      </c>
      <c r="T35" s="669" t="s">
        <v>14</v>
      </c>
      <c r="U35" s="670">
        <f t="shared" si="13"/>
        <v>100</v>
      </c>
      <c r="V35" s="669" t="s">
        <v>14</v>
      </c>
      <c r="W35" s="670">
        <f t="shared" si="14"/>
        <v>100</v>
      </c>
      <c r="X35" s="671"/>
      <c r="Y35" s="3395"/>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95"/>
      <c r="Q36" s="1263">
        <f t="shared" si="11"/>
        <v>111</v>
      </c>
      <c r="R36" s="667" t="s">
        <v>14</v>
      </c>
      <c r="S36" s="668">
        <f t="shared" si="12"/>
        <v>100</v>
      </c>
      <c r="T36" s="667" t="s">
        <v>14</v>
      </c>
      <c r="U36" s="668">
        <f t="shared" si="13"/>
        <v>100</v>
      </c>
      <c r="V36" s="667" t="s">
        <v>14</v>
      </c>
      <c r="W36" s="668">
        <f t="shared" si="14"/>
        <v>100</v>
      </c>
      <c r="X36" s="1265"/>
      <c r="Y36" s="3395"/>
      <c r="Z36" s="1264">
        <f t="shared" si="15"/>
        <v>111</v>
      </c>
      <c r="AA36" s="1264">
        <f t="shared" si="3"/>
        <v>1</v>
      </c>
      <c r="AB36" s="1264">
        <f t="shared" si="4"/>
        <v>1</v>
      </c>
      <c r="AC36" s="1264">
        <f t="shared" si="5"/>
        <v>1</v>
      </c>
    </row>
    <row r="37" spans="1:29" ht="15">
      <c r="A37" s="416" t="s">
        <v>1844</v>
      </c>
      <c r="B37" s="1821" t="s">
        <v>3356</v>
      </c>
      <c r="C37" s="1081" t="s">
        <v>0</v>
      </c>
      <c r="D37" s="418"/>
      <c r="E37" s="419"/>
      <c r="F37" s="420"/>
      <c r="G37" s="421"/>
      <c r="H37" s="422"/>
      <c r="I37" s="419"/>
      <c r="J37" s="422"/>
      <c r="K37" s="545"/>
      <c r="L37" s="2493"/>
      <c r="M37" s="2486"/>
      <c r="N37" s="2486"/>
      <c r="O37" s="2486"/>
      <c r="P37" s="3388" t="str">
        <f>A37</f>
        <v>成交单价</v>
      </c>
      <c r="Q37" s="3388"/>
      <c r="R37" s="3389">
        <f>E37</f>
        <v>0</v>
      </c>
      <c r="S37" s="3389"/>
      <c r="T37" s="3389">
        <f>G37</f>
        <v>0</v>
      </c>
      <c r="U37" s="3389"/>
      <c r="V37" s="3389">
        <f>I37</f>
        <v>0</v>
      </c>
      <c r="W37" s="3389"/>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3"/>
      <c r="M38" s="2486"/>
      <c r="N38" s="2486"/>
      <c r="O38" s="2486"/>
      <c r="P38" s="3388" t="str">
        <f>A38</f>
        <v>比较价值（元/平方米）</v>
      </c>
      <c r="Q38" s="3388"/>
      <c r="R38" s="3389" t="e">
        <f>IF(F1="售价",ROUND(PRODUCT(R37,AA7:AA36),0),ROUND(PRODUCT(R37,AA7:AA36),1))</f>
        <v>#DIV/0!</v>
      </c>
      <c r="S38" s="3389"/>
      <c r="T38" s="3389" t="e">
        <f>IF(F1="售价",ROUND(PRODUCT(T37,AB7:AB36),0),ROUND(PRODUCT(T37,AB7:AB36),1))</f>
        <v>#DIV/0!</v>
      </c>
      <c r="U38" s="3389"/>
      <c r="V38" s="3389" t="e">
        <f>IF(F1="售价",ROUND(PRODUCT(V37,AC7:AC36),0),ROUND(PRODUCT(V37,AC7:AC36),1))</f>
        <v>#DIV/0!</v>
      </c>
      <c r="W38" s="3389"/>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385" t="str">
        <f>A39</f>
        <v>估价对象XX用房的比较价值（楼面单价，元/平方米）</v>
      </c>
      <c r="Q39" s="3386"/>
      <c r="R39" s="3446" t="e">
        <f>IF(F1="售价",ROUND(IF(D38="简单平均",AVERAGE(R38:W38),R38*F38+T38*H38+V38*J38),0),ROUND(IF(D38="简单平均",AVERAGE(R38:V38),R38*F38+T38*H38+V38*J38),1))</f>
        <v>#DIV/0!</v>
      </c>
      <c r="S39" s="3446"/>
      <c r="T39" s="3446"/>
      <c r="U39" s="3446"/>
      <c r="V39" s="3446"/>
      <c r="W39" s="3446"/>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2"/>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2"/>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2"/>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2"/>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3"/>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3"/>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2"/>
      <c r="Q46" s="2486"/>
      <c r="R46" s="2486"/>
      <c r="S46" s="2486"/>
      <c r="T46" s="2486"/>
      <c r="U46" s="2486"/>
      <c r="V46" s="2486"/>
      <c r="W46" s="2486"/>
      <c r="X46" s="2486"/>
      <c r="Y46" s="2486"/>
      <c r="Z46" s="2486"/>
      <c r="AA46" s="2486"/>
      <c r="AB46" s="2486"/>
      <c r="AC46" s="2486"/>
    </row>
    <row r="47" spans="1:29" ht="21.75" thickBot="1">
      <c r="A47" s="1087" t="s">
        <v>1850</v>
      </c>
      <c r="B47" s="861"/>
      <c r="C47" s="886"/>
      <c r="D47" s="886"/>
      <c r="E47" s="886"/>
      <c r="F47" s="1088"/>
      <c r="G47" s="1088"/>
      <c r="H47" s="886"/>
      <c r="I47" s="886"/>
      <c r="J47" s="886"/>
      <c r="K47" s="887"/>
      <c r="L47" s="888"/>
      <c r="M47" s="886"/>
      <c r="N47" s="2535"/>
      <c r="O47" s="2535"/>
      <c r="P47" s="2524"/>
      <c r="Q47" s="2507"/>
      <c r="R47" s="2486"/>
      <c r="S47" s="2486"/>
      <c r="T47" s="2486"/>
      <c r="U47" s="2486"/>
      <c r="V47" s="2486"/>
      <c r="W47" s="2486"/>
      <c r="X47" s="2486"/>
      <c r="Y47" s="2486"/>
      <c r="Z47" s="2486"/>
      <c r="AA47" s="2486"/>
      <c r="AB47" s="2486"/>
      <c r="AC47" s="2486"/>
    </row>
    <row r="48" spans="1:29" s="442" customFormat="1" ht="15">
      <c r="A48" s="440" t="s">
        <v>1851</v>
      </c>
      <c r="B48" s="441"/>
      <c r="C48" s="1103" t="str">
        <f>YEAR(C7)&amp;"-"&amp;MONTH(C7)</f>
        <v>2023-11</v>
      </c>
      <c r="D48" s="1104">
        <f>EDATE(C48,-1)</f>
        <v>45200</v>
      </c>
      <c r="E48" s="1104">
        <f t="shared" ref="E48:O48" si="16">EDATE(D48,-1)</f>
        <v>45170</v>
      </c>
      <c r="F48" s="1104">
        <f t="shared" si="16"/>
        <v>45139</v>
      </c>
      <c r="G48" s="1104">
        <f t="shared" si="16"/>
        <v>45108</v>
      </c>
      <c r="H48" s="1104">
        <f t="shared" si="16"/>
        <v>45078</v>
      </c>
      <c r="I48" s="1104">
        <f t="shared" si="16"/>
        <v>45047</v>
      </c>
      <c r="J48" s="1104">
        <f t="shared" si="16"/>
        <v>45017</v>
      </c>
      <c r="K48" s="1104">
        <f t="shared" si="16"/>
        <v>44986</v>
      </c>
      <c r="L48" s="1104">
        <f t="shared" si="16"/>
        <v>44958</v>
      </c>
      <c r="M48" s="1104">
        <f t="shared" si="16"/>
        <v>44927</v>
      </c>
      <c r="N48" s="1104">
        <f t="shared" si="16"/>
        <v>44896</v>
      </c>
      <c r="O48" s="1104">
        <f t="shared" si="16"/>
        <v>44866</v>
      </c>
      <c r="P48" s="2525"/>
      <c r="Q48" s="2508"/>
      <c r="R48" s="2508"/>
      <c r="S48" s="2508"/>
      <c r="T48" s="2508"/>
      <c r="U48" s="2508"/>
      <c r="V48" s="2508"/>
      <c r="W48" s="2508"/>
      <c r="X48" s="2508"/>
      <c r="Y48" s="2508"/>
      <c r="Z48" s="2508"/>
      <c r="AA48" s="2508"/>
      <c r="AB48" s="2508"/>
      <c r="AC48" s="2508"/>
    </row>
    <row r="49" spans="1:29" s="102" customFormat="1" ht="15">
      <c r="A49" s="443"/>
      <c r="B49" s="444"/>
      <c r="C49" s="1097">
        <v>100</v>
      </c>
      <c r="D49" s="446"/>
      <c r="E49" s="446"/>
      <c r="F49" s="446"/>
      <c r="G49" s="446"/>
      <c r="H49" s="446"/>
      <c r="I49" s="446"/>
      <c r="J49" s="446"/>
      <c r="K49" s="446"/>
      <c r="L49" s="446"/>
      <c r="M49" s="447"/>
      <c r="N49" s="446"/>
      <c r="O49" s="447"/>
      <c r="P49" s="2526"/>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6"/>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8"/>
      <c r="O51" s="2518"/>
      <c r="P51" s="2527"/>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8"/>
      <c r="O52" s="2518"/>
      <c r="P52" s="2526"/>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19"/>
      <c r="O53" s="2519"/>
      <c r="P53" s="2528"/>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0"/>
      <c r="O54" s="2520"/>
      <c r="P54" s="2528"/>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19"/>
      <c r="O55" s="2519"/>
      <c r="P55" s="2528"/>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0"/>
      <c r="O56" s="2520"/>
      <c r="P56" s="2528"/>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19"/>
      <c r="O57" s="2519"/>
      <c r="P57" s="2528"/>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0"/>
      <c r="O58" s="2520"/>
      <c r="P58" s="2528"/>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1"/>
      <c r="O59" s="2521"/>
      <c r="P59" s="2529"/>
      <c r="Q59" s="2513"/>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0"/>
      <c r="O60" s="2520"/>
      <c r="P60" s="2529"/>
      <c r="Q60" s="2513"/>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1"/>
      <c r="O61" s="2521"/>
      <c r="P61" s="2530"/>
      <c r="Q61" s="2515"/>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1"/>
      <c r="O62" s="2521"/>
      <c r="P62" s="2529"/>
      <c r="Q62" s="2513"/>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3"/>
      <c r="N67" s="2520"/>
      <c r="O67" s="2520"/>
      <c r="P67" s="2528"/>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19"/>
      <c r="O71" s="2519"/>
      <c r="P71" s="2528"/>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8"/>
      <c r="O73" s="2518"/>
      <c r="P73" s="2528"/>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0"/>
      <c r="O74" s="2520"/>
      <c r="P74" s="2528"/>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8"/>
      <c r="O75" s="2518"/>
      <c r="P75" s="2528"/>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0"/>
      <c r="O76" s="2520"/>
      <c r="P76" s="2528"/>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1"/>
      <c r="O77" s="2521"/>
      <c r="P77" s="2529"/>
      <c r="Q77" s="2513"/>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1"/>
      <c r="O78" s="2521"/>
      <c r="P78" s="2529"/>
      <c r="Q78" s="2513"/>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19"/>
      <c r="O79" s="2519"/>
      <c r="P79" s="2528"/>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8"/>
      <c r="O81" s="2518"/>
      <c r="P81" s="2528"/>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0"/>
      <c r="O82" s="2520"/>
      <c r="P82" s="2529"/>
      <c r="Q82" s="2513"/>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19"/>
      <c r="O83" s="2519"/>
      <c r="P83" s="2528"/>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19"/>
      <c r="O86" s="2519"/>
      <c r="P86" s="2528"/>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19"/>
      <c r="O88" s="2519"/>
      <c r="P88" s="2528"/>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1"/>
      <c r="O91" s="2521"/>
      <c r="P91" s="2529"/>
      <c r="Q91" s="2513"/>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1"/>
      <c r="O92" s="2521"/>
      <c r="P92" s="2529"/>
      <c r="Q92" s="2513"/>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19"/>
      <c r="O93" s="2519"/>
      <c r="P93" s="2528"/>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19"/>
      <c r="O95" s="2519"/>
      <c r="P95" s="2528"/>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0"/>
      <c r="O97" s="2520"/>
      <c r="P97" s="2533"/>
      <c r="Q97" s="2534"/>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0"/>
      <c r="O98" s="2520"/>
      <c r="P98" s="2528"/>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1"/>
      <c r="O99" s="2521"/>
      <c r="P99" s="2529"/>
      <c r="Q99" s="2513"/>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1"/>
      <c r="O100" s="2521"/>
      <c r="P100" s="2529"/>
      <c r="Q100" s="2513"/>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19"/>
      <c r="O101" s="2519"/>
      <c r="P101" s="2528"/>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0"/>
      <c r="O102" s="2520"/>
      <c r="P102" s="2528"/>
      <c r="Q102" s="2507"/>
      <c r="R102" s="2486"/>
      <c r="S102" s="2486"/>
      <c r="T102" s="2486"/>
      <c r="U102" s="2486"/>
      <c r="V102" s="2486"/>
      <c r="W102" s="2486"/>
      <c r="X102" s="2486"/>
      <c r="Y102" s="2486"/>
      <c r="Z102" s="2486"/>
      <c r="AA102" s="2486"/>
      <c r="AB102" s="2486"/>
      <c r="AC102" s="2486"/>
    </row>
    <row r="103" spans="1:29" ht="15" thickTop="1">
      <c r="N103" s="2486"/>
      <c r="O103" s="2486"/>
      <c r="P103" s="2522"/>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77" priority="13" stopIfTrue="1">
      <formula>$F$42="超过30%"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F7:F36 H7:H36 J7:J36">
    <cfRule type="cellIs" dxfId="74" priority="1" operator="notEqual">
      <formula>100</formula>
    </cfRule>
  </conditionalFormatting>
  <conditionalFormatting sqref="F38">
    <cfRule type="expression" dxfId="73" priority="4">
      <formula>$D$38="简单平均"</formula>
    </cfRule>
  </conditionalFormatting>
  <conditionalFormatting sqref="F42:F44 H42:H44 J42:J44">
    <cfRule type="containsText" dxfId="72" priority="14" stopIfTrue="1" operator="containsText" text="超过">
      <formula>NOT(ISERROR(SEARCH("超过",F42)))</formula>
    </cfRule>
  </conditionalFormatting>
  <conditionalFormatting sqref="G42">
    <cfRule type="expression" dxfId="71" priority="9" stopIfTrue="1">
      <formula>$H$52+$H$42="超过30%"</formula>
    </cfRule>
  </conditionalFormatting>
  <conditionalFormatting sqref="G43">
    <cfRule type="expression" dxfId="70" priority="8" stopIfTrue="1">
      <formula>$H$43="超过20%"</formula>
    </cfRule>
  </conditionalFormatting>
  <conditionalFormatting sqref="G44">
    <cfRule type="expression" dxfId="69" priority="12" stopIfTrue="1">
      <formula>$H$54+$H$44="超过30%"</formula>
    </cfRule>
  </conditionalFormatting>
  <conditionalFormatting sqref="H38">
    <cfRule type="expression" dxfId="68" priority="3">
      <formula>$D$38="简单平均"</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J38">
    <cfRule type="expression" dxfId="64"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3337</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5"/>
      <c r="M4" s="2486"/>
      <c r="N4" s="2486"/>
      <c r="O4" s="2486"/>
      <c r="P4" s="3407" t="s">
        <v>1775</v>
      </c>
      <c r="Q4" s="3408"/>
      <c r="R4" s="3413" t="s">
        <v>1771</v>
      </c>
      <c r="S4" s="3414"/>
      <c r="T4" s="3413" t="s">
        <v>1772</v>
      </c>
      <c r="U4" s="3414"/>
      <c r="V4" s="3389" t="s">
        <v>1773</v>
      </c>
      <c r="W4" s="3389"/>
      <c r="X4" s="1265"/>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5"/>
      <c r="M5" s="2486"/>
      <c r="N5" s="2486"/>
      <c r="O5" s="2486"/>
      <c r="P5" s="3409"/>
      <c r="Q5" s="3410"/>
      <c r="R5" s="3415"/>
      <c r="S5" s="3416"/>
      <c r="T5" s="3415"/>
      <c r="U5" s="3416"/>
      <c r="V5" s="3389"/>
      <c r="W5" s="3389"/>
      <c r="X5" s="1265"/>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2485"/>
      <c r="M6" s="2486"/>
      <c r="N6" s="2486"/>
      <c r="O6" s="2486"/>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45247</v>
      </c>
      <c r="D7" s="355">
        <v>100</v>
      </c>
      <c r="E7" s="356"/>
      <c r="F7" s="357">
        <f>SUMIF(46:46,YEAR(E7)&amp;"-"&amp;MONTH(E7),47:47)</f>
        <v>0</v>
      </c>
      <c r="G7" s="1822"/>
      <c r="H7" s="355">
        <f>SUMIF(46:46,YEAR(G7)&amp;"-"&amp;MONTH(G7),47:47)</f>
        <v>0</v>
      </c>
      <c r="I7" s="356"/>
      <c r="J7" s="355">
        <f>SUMIF(46:46,YEAR(I7)&amp;"-"&amp;MONTH(I7),47:47)</f>
        <v>0</v>
      </c>
      <c r="K7" s="38"/>
      <c r="L7" s="2487"/>
      <c r="M7" s="2438"/>
      <c r="N7" s="2438"/>
      <c r="O7" s="2438"/>
      <c r="P7" s="3423" t="s">
        <v>1680</v>
      </c>
      <c r="Q7" s="3425"/>
      <c r="R7" s="664" t="s">
        <v>14</v>
      </c>
      <c r="S7" s="665">
        <f t="shared" ref="S7:S14" si="0">F7</f>
        <v>0</v>
      </c>
      <c r="T7" s="664" t="s">
        <v>14</v>
      </c>
      <c r="U7" s="665">
        <f t="shared" ref="U7:U14" si="1">H7</f>
        <v>0</v>
      </c>
      <c r="V7" s="664" t="s">
        <v>14</v>
      </c>
      <c r="W7" s="665">
        <f t="shared" ref="W7:W14"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423" t="s">
        <v>1683</v>
      </c>
      <c r="Q8" s="3424"/>
      <c r="R8" s="664" t="s">
        <v>14</v>
      </c>
      <c r="S8" s="665">
        <f t="shared" si="0"/>
        <v>100</v>
      </c>
      <c r="T8" s="664" t="s">
        <v>14</v>
      </c>
      <c r="U8" s="665">
        <f t="shared" si="1"/>
        <v>100</v>
      </c>
      <c r="V8" s="664" t="s">
        <v>14</v>
      </c>
      <c r="W8" s="665">
        <f t="shared" si="2"/>
        <v>100</v>
      </c>
      <c r="X8" s="666"/>
      <c r="Y8" s="3423" t="s">
        <v>1683</v>
      </c>
      <c r="Z8" s="3424"/>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8"/>
      <c r="P9" s="3388" t="s">
        <v>1686</v>
      </c>
      <c r="Q9" s="530" t="str">
        <f t="shared" ref="Q9:Q14" si="6">B9</f>
        <v>用途</v>
      </c>
      <c r="R9" s="664" t="s">
        <v>14</v>
      </c>
      <c r="S9" s="665">
        <f t="shared" si="0"/>
        <v>100</v>
      </c>
      <c r="T9" s="664" t="s">
        <v>14</v>
      </c>
      <c r="U9" s="665">
        <f t="shared" si="1"/>
        <v>100</v>
      </c>
      <c r="V9" s="664" t="s">
        <v>14</v>
      </c>
      <c r="W9" s="665">
        <f t="shared" si="2"/>
        <v>100</v>
      </c>
      <c r="X9" s="666"/>
      <c r="Y9" s="3263" t="s">
        <v>1687</v>
      </c>
      <c r="Z9" s="50" t="str">
        <f t="shared" ref="Z9:Z14" si="7">Q9</f>
        <v>用途</v>
      </c>
      <c r="AA9" s="50">
        <f t="shared" si="3"/>
        <v>1</v>
      </c>
      <c r="AB9" s="50">
        <f t="shared" si="4"/>
        <v>1</v>
      </c>
      <c r="AC9" s="50">
        <f t="shared" si="5"/>
        <v>1</v>
      </c>
    </row>
    <row r="10" spans="1:29" s="366" customFormat="1" ht="27">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8"/>
      <c r="M10" s="2489"/>
      <c r="N10" s="2489"/>
      <c r="O10" s="2539"/>
      <c r="P10" s="3388"/>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0"/>
      <c r="P11" s="3388"/>
      <c r="Q11" s="530">
        <f t="shared" si="6"/>
        <v>111</v>
      </c>
      <c r="R11" s="664" t="s">
        <v>14</v>
      </c>
      <c r="S11" s="665">
        <f t="shared" si="0"/>
        <v>100</v>
      </c>
      <c r="T11" s="664" t="s">
        <v>14</v>
      </c>
      <c r="U11" s="665">
        <f t="shared" si="1"/>
        <v>100</v>
      </c>
      <c r="V11" s="664" t="s">
        <v>14</v>
      </c>
      <c r="W11" s="665">
        <f t="shared" si="2"/>
        <v>100</v>
      </c>
      <c r="X11" s="666"/>
      <c r="Y11" s="326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8"/>
      <c r="P12" s="3388"/>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0"/>
      <c r="P13" s="3388"/>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85.5">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0"/>
      <c r="P14" s="3390" t="s">
        <v>1691</v>
      </c>
      <c r="Q14" s="1263" t="str">
        <f t="shared" si="6"/>
        <v>交通便捷度</v>
      </c>
      <c r="R14" s="667" t="s">
        <v>14</v>
      </c>
      <c r="S14" s="668">
        <f t="shared" si="0"/>
        <v>100</v>
      </c>
      <c r="T14" s="667" t="s">
        <v>14</v>
      </c>
      <c r="U14" s="668">
        <f t="shared" si="1"/>
        <v>100</v>
      </c>
      <c r="V14" s="667" t="s">
        <v>14</v>
      </c>
      <c r="W14" s="668">
        <f t="shared" si="2"/>
        <v>100</v>
      </c>
      <c r="X14" s="1265"/>
      <c r="Y14" s="3390"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0"/>
      <c r="P15" s="3391"/>
      <c r="Q15" s="1263"/>
      <c r="R15" s="667"/>
      <c r="S15" s="668"/>
      <c r="T15" s="667"/>
      <c r="U15" s="668"/>
      <c r="V15" s="667"/>
      <c r="W15" s="668"/>
      <c r="X15" s="1265"/>
      <c r="Y15" s="3391"/>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0"/>
      <c r="P16" s="3391"/>
      <c r="Q16" s="1263" t="str">
        <f>B16</f>
        <v>公共配套设施</v>
      </c>
      <c r="R16" s="667" t="s">
        <v>14</v>
      </c>
      <c r="S16" s="668">
        <f>F16</f>
        <v>100</v>
      </c>
      <c r="T16" s="667" t="s">
        <v>14</v>
      </c>
      <c r="U16" s="668">
        <f>H16</f>
        <v>100</v>
      </c>
      <c r="V16" s="667" t="s">
        <v>14</v>
      </c>
      <c r="W16" s="668">
        <f>J16</f>
        <v>100</v>
      </c>
      <c r="X16" s="1265"/>
      <c r="Y16" s="3391"/>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0"/>
      <c r="P17" s="3391"/>
      <c r="Q17" s="1263"/>
      <c r="R17" s="667"/>
      <c r="S17" s="668"/>
      <c r="T17" s="667"/>
      <c r="U17" s="668"/>
      <c r="V17" s="667"/>
      <c r="W17" s="668"/>
      <c r="X17" s="1265"/>
      <c r="Y17" s="3391"/>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0"/>
      <c r="P18" s="3391"/>
      <c r="Q18" s="1263" t="str">
        <f>B18</f>
        <v>基础设施水平</v>
      </c>
      <c r="R18" s="667" t="s">
        <v>14</v>
      </c>
      <c r="S18" s="668">
        <f>F18</f>
        <v>100</v>
      </c>
      <c r="T18" s="667" t="s">
        <v>14</v>
      </c>
      <c r="U18" s="668">
        <f>H18</f>
        <v>100</v>
      </c>
      <c r="V18" s="667" t="s">
        <v>14</v>
      </c>
      <c r="W18" s="668">
        <f>J18</f>
        <v>100</v>
      </c>
      <c r="X18" s="1265"/>
      <c r="Y18" s="3391"/>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0"/>
      <c r="P19" s="3391"/>
      <c r="Q19" s="1263"/>
      <c r="R19" s="667"/>
      <c r="S19" s="668"/>
      <c r="T19" s="667"/>
      <c r="U19" s="668"/>
      <c r="V19" s="667"/>
      <c r="W19" s="668"/>
      <c r="X19" s="1265"/>
      <c r="Y19" s="3391"/>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0"/>
      <c r="P20" s="3391"/>
      <c r="Q20" s="1263" t="str">
        <f>B20</f>
        <v>自然及人文环境</v>
      </c>
      <c r="R20" s="667" t="s">
        <v>14</v>
      </c>
      <c r="S20" s="668">
        <f>F20</f>
        <v>100</v>
      </c>
      <c r="T20" s="667" t="s">
        <v>14</v>
      </c>
      <c r="U20" s="668">
        <f>H20</f>
        <v>100</v>
      </c>
      <c r="V20" s="667" t="s">
        <v>14</v>
      </c>
      <c r="W20" s="668">
        <f>J20</f>
        <v>100</v>
      </c>
      <c r="X20" s="1265"/>
      <c r="Y20" s="3391"/>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0"/>
      <c r="P21" s="3391"/>
      <c r="Q21" s="1263"/>
      <c r="R21" s="667"/>
      <c r="S21" s="668"/>
      <c r="T21" s="667"/>
      <c r="U21" s="668"/>
      <c r="V21" s="667"/>
      <c r="W21" s="668"/>
      <c r="X21" s="1265"/>
      <c r="Y21" s="3391"/>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0"/>
      <c r="P22" s="3391"/>
      <c r="Q22" s="1263" t="str">
        <f>B22</f>
        <v>楼层</v>
      </c>
      <c r="R22" s="667" t="s">
        <v>14</v>
      </c>
      <c r="S22" s="668">
        <f>F22</f>
        <v>100</v>
      </c>
      <c r="T22" s="667" t="s">
        <v>14</v>
      </c>
      <c r="U22" s="668">
        <f>H22</f>
        <v>100</v>
      </c>
      <c r="V22" s="667" t="s">
        <v>14</v>
      </c>
      <c r="W22" s="668">
        <f>J22</f>
        <v>100</v>
      </c>
      <c r="X22" s="1265"/>
      <c r="Y22" s="3391"/>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0"/>
      <c r="P23" s="3391"/>
      <c r="Q23" s="1263">
        <f>B23</f>
        <v>111</v>
      </c>
      <c r="R23" s="667" t="s">
        <v>14</v>
      </c>
      <c r="S23" s="668">
        <f>F23</f>
        <v>100</v>
      </c>
      <c r="T23" s="667" t="s">
        <v>14</v>
      </c>
      <c r="U23" s="668">
        <f>H23</f>
        <v>100</v>
      </c>
      <c r="V23" s="667" t="s">
        <v>14</v>
      </c>
      <c r="W23" s="668">
        <f>J23</f>
        <v>100</v>
      </c>
      <c r="X23" s="1265"/>
      <c r="Y23" s="3391"/>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0"/>
      <c r="P24" s="3391"/>
      <c r="Q24" s="1263">
        <f t="shared" ref="Q24:Q34" si="11">B24</f>
        <v>111</v>
      </c>
      <c r="R24" s="667" t="s">
        <v>14</v>
      </c>
      <c r="S24" s="668">
        <f>F24</f>
        <v>100</v>
      </c>
      <c r="T24" s="667" t="s">
        <v>14</v>
      </c>
      <c r="U24" s="668">
        <f>H24</f>
        <v>100</v>
      </c>
      <c r="V24" s="667" t="s">
        <v>14</v>
      </c>
      <c r="W24" s="668">
        <f>J24</f>
        <v>100</v>
      </c>
      <c r="X24" s="1265"/>
      <c r="Y24" s="3391"/>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8"/>
      <c r="N25" s="2438"/>
      <c r="O25" s="2538"/>
      <c r="P25" s="3391"/>
      <c r="Q25" s="530">
        <f t="shared" si="11"/>
        <v>111</v>
      </c>
      <c r="R25" s="664" t="s">
        <v>14</v>
      </c>
      <c r="S25" s="665">
        <f>F25</f>
        <v>100</v>
      </c>
      <c r="T25" s="664" t="s">
        <v>14</v>
      </c>
      <c r="U25" s="665">
        <f>H25</f>
        <v>100</v>
      </c>
      <c r="V25" s="664" t="s">
        <v>14</v>
      </c>
      <c r="W25" s="665">
        <f>J25</f>
        <v>100</v>
      </c>
      <c r="X25" s="666"/>
      <c r="Y25" s="3391"/>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0"/>
      <c r="P26" s="3445"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95"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1"/>
      <c r="P27" s="3395"/>
      <c r="Q27" s="531" t="str">
        <f t="shared" si="11"/>
        <v>成新率</v>
      </c>
      <c r="R27" s="669" t="s">
        <v>14</v>
      </c>
      <c r="S27" s="670" t="e">
        <f t="shared" si="12"/>
        <v>#N/A</v>
      </c>
      <c r="T27" s="669" t="s">
        <v>14</v>
      </c>
      <c r="U27" s="670" t="e">
        <f t="shared" si="13"/>
        <v>#N/A</v>
      </c>
      <c r="V27" s="669" t="s">
        <v>14</v>
      </c>
      <c r="W27" s="670" t="e">
        <f t="shared" si="14"/>
        <v>#N/A</v>
      </c>
      <c r="X27" s="671"/>
      <c r="Y27" s="3395"/>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0"/>
      <c r="P28" s="3395"/>
      <c r="Q28" s="1263" t="str">
        <f t="shared" si="11"/>
        <v>物业等级</v>
      </c>
      <c r="R28" s="667" t="s">
        <v>14</v>
      </c>
      <c r="S28" s="668">
        <f t="shared" si="12"/>
        <v>100</v>
      </c>
      <c r="T28" s="667" t="s">
        <v>14</v>
      </c>
      <c r="U28" s="668">
        <f t="shared" si="13"/>
        <v>100</v>
      </c>
      <c r="V28" s="667" t="s">
        <v>14</v>
      </c>
      <c r="W28" s="668">
        <f t="shared" si="14"/>
        <v>100</v>
      </c>
      <c r="X28" s="1265"/>
      <c r="Y28" s="3395"/>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0"/>
      <c r="P29" s="3395"/>
      <c r="Q29" s="1263" t="str">
        <f t="shared" si="11"/>
        <v>有无电梯</v>
      </c>
      <c r="R29" s="667" t="s">
        <v>14</v>
      </c>
      <c r="S29" s="668">
        <f t="shared" si="12"/>
        <v>100</v>
      </c>
      <c r="T29" s="667" t="s">
        <v>14</v>
      </c>
      <c r="U29" s="668">
        <f t="shared" si="13"/>
        <v>100</v>
      </c>
      <c r="V29" s="667" t="s">
        <v>14</v>
      </c>
      <c r="W29" s="668">
        <f t="shared" si="14"/>
        <v>100</v>
      </c>
      <c r="X29" s="1265"/>
      <c r="Y29" s="3395"/>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0"/>
      <c r="P30" s="3395"/>
      <c r="Q30" s="1263" t="str">
        <f t="shared" si="11"/>
        <v>建筑面积</v>
      </c>
      <c r="R30" s="667" t="s">
        <v>14</v>
      </c>
      <c r="S30" s="668" t="e">
        <f t="shared" si="12"/>
        <v>#N/A</v>
      </c>
      <c r="T30" s="667" t="s">
        <v>14</v>
      </c>
      <c r="U30" s="668" t="e">
        <f t="shared" si="13"/>
        <v>#N/A</v>
      </c>
      <c r="V30" s="667" t="s">
        <v>14</v>
      </c>
      <c r="W30" s="668" t="e">
        <f t="shared" si="14"/>
        <v>#N/A</v>
      </c>
      <c r="X30" s="1265"/>
      <c r="Y30" s="3395"/>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8"/>
      <c r="P31" s="3395"/>
      <c r="Q31" s="530" t="str">
        <f t="shared" si="11"/>
        <v>是否封闭</v>
      </c>
      <c r="R31" s="664" t="s">
        <v>14</v>
      </c>
      <c r="S31" s="665">
        <f t="shared" si="12"/>
        <v>100</v>
      </c>
      <c r="T31" s="664" t="s">
        <v>14</v>
      </c>
      <c r="U31" s="665">
        <f t="shared" si="13"/>
        <v>100</v>
      </c>
      <c r="V31" s="664" t="s">
        <v>14</v>
      </c>
      <c r="W31" s="665">
        <f t="shared" si="14"/>
        <v>100</v>
      </c>
      <c r="X31" s="666"/>
      <c r="Y31" s="3395"/>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0"/>
      <c r="P32" s="3395" t="s">
        <v>1696</v>
      </c>
      <c r="Q32" s="1263">
        <f t="shared" si="11"/>
        <v>111</v>
      </c>
      <c r="R32" s="667" t="s">
        <v>14</v>
      </c>
      <c r="S32" s="668">
        <f t="shared" si="12"/>
        <v>100</v>
      </c>
      <c r="T32" s="667" t="s">
        <v>14</v>
      </c>
      <c r="U32" s="668">
        <f t="shared" si="13"/>
        <v>100</v>
      </c>
      <c r="V32" s="667" t="s">
        <v>14</v>
      </c>
      <c r="W32" s="668">
        <f t="shared" si="14"/>
        <v>100</v>
      </c>
      <c r="X32" s="1265"/>
      <c r="Y32" s="3395"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0"/>
      <c r="P33" s="3395"/>
      <c r="Q33" s="1263">
        <f t="shared" si="11"/>
        <v>111</v>
      </c>
      <c r="R33" s="667" t="s">
        <v>14</v>
      </c>
      <c r="S33" s="668">
        <f t="shared" si="12"/>
        <v>100</v>
      </c>
      <c r="T33" s="667" t="s">
        <v>14</v>
      </c>
      <c r="U33" s="668">
        <f t="shared" si="13"/>
        <v>100</v>
      </c>
      <c r="V33" s="667" t="s">
        <v>14</v>
      </c>
      <c r="W33" s="668">
        <f t="shared" si="14"/>
        <v>100</v>
      </c>
      <c r="X33" s="1265"/>
      <c r="Y33" s="3395"/>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0"/>
      <c r="P34" s="3395"/>
      <c r="Q34" s="1263">
        <f t="shared" si="11"/>
        <v>111</v>
      </c>
      <c r="R34" s="667" t="s">
        <v>14</v>
      </c>
      <c r="S34" s="668">
        <f t="shared" si="12"/>
        <v>100</v>
      </c>
      <c r="T34" s="667" t="s">
        <v>14</v>
      </c>
      <c r="U34" s="668">
        <f t="shared" si="13"/>
        <v>100</v>
      </c>
      <c r="V34" s="667" t="s">
        <v>14</v>
      </c>
      <c r="W34" s="668">
        <f t="shared" si="14"/>
        <v>100</v>
      </c>
      <c r="X34" s="1265"/>
      <c r="Y34" s="3395"/>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3"/>
      <c r="M35" s="2486"/>
      <c r="N35" s="2486"/>
      <c r="O35" s="2486"/>
      <c r="P35" s="3388" t="str">
        <f>A35</f>
        <v>成交单价（元/平方米）</v>
      </c>
      <c r="Q35" s="3388"/>
      <c r="R35" s="3389">
        <f>E35</f>
        <v>0</v>
      </c>
      <c r="S35" s="3389"/>
      <c r="T35" s="3389">
        <f>G35</f>
        <v>0</v>
      </c>
      <c r="U35" s="3389"/>
      <c r="V35" s="3389">
        <f>I35</f>
        <v>0</v>
      </c>
      <c r="W35" s="3389"/>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3"/>
      <c r="M36" s="2486"/>
      <c r="N36" s="2486"/>
      <c r="O36" s="2486"/>
      <c r="P36" s="3388" t="str">
        <f>A36</f>
        <v>比较价值（元/平方米）</v>
      </c>
      <c r="Q36" s="3388"/>
      <c r="R36" s="3389" t="e">
        <f>IF(F1="售价",ROUND(PRODUCT(R35,AA7:AA34),0),ROUND(PRODUCT(R35,AA7:AA34),1))</f>
        <v>#DIV/0!</v>
      </c>
      <c r="S36" s="3389"/>
      <c r="T36" s="3389" t="e">
        <f>IF(F1="售价",ROUND(PRODUCT(T35,AB7:AB34),0),ROUND(PRODUCT(T35,AB7:AB34),1))</f>
        <v>#DIV/0!</v>
      </c>
      <c r="U36" s="3389"/>
      <c r="V36" s="3389" t="e">
        <f>IF(F1="售价",ROUND(PRODUCT(V35,AC7:AC34),0),ROUND(PRODUCT(V35,AC7:AC34),1))</f>
        <v>#DIV/0!</v>
      </c>
      <c r="W36" s="3389"/>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385" t="str">
        <f>A37</f>
        <v>估价对象XX用房的比较价值（楼面单价，元/平方米）</v>
      </c>
      <c r="Q37" s="3386"/>
      <c r="R37" s="3446" t="e">
        <f>IF(F1="售价",ROUND(IF(D36="简单平均",AVERAGE(R36:W36),R36*F36+T36*H36+V36*J36),0),ROUND(IF(D36="简单平均",AVERAGE(R36:V36),R36*F36+T36*H36+V36*J36),1))</f>
        <v>#DIV/0!</v>
      </c>
      <c r="S37" s="3446"/>
      <c r="T37" s="3446"/>
      <c r="U37" s="3446"/>
      <c r="V37" s="3446"/>
      <c r="W37" s="3446"/>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5"/>
      <c r="O45" s="2535"/>
      <c r="P45" s="2535"/>
      <c r="Q45" s="2507"/>
      <c r="R45" s="2486"/>
      <c r="S45" s="2486"/>
      <c r="T45" s="2486"/>
      <c r="U45" s="2486"/>
      <c r="V45" s="2486"/>
      <c r="W45" s="2486"/>
      <c r="X45" s="2486"/>
      <c r="Y45" s="2486"/>
      <c r="Z45" s="2486"/>
      <c r="AA45" s="2486"/>
      <c r="AB45" s="2486"/>
      <c r="AC45" s="2486"/>
      <c r="AD45" s="2486"/>
    </row>
    <row r="46" spans="1:30" s="442" customFormat="1" ht="15">
      <c r="A46" s="440" t="s">
        <v>1679</v>
      </c>
      <c r="B46" s="441"/>
      <c r="C46" s="1103" t="str">
        <f>YEAR(C7)&amp;"-"&amp;MONTH(C7)</f>
        <v>2023-11</v>
      </c>
      <c r="D46" s="1104">
        <f>EDATE(C46,-1)</f>
        <v>45200</v>
      </c>
      <c r="E46" s="1104">
        <f t="shared" ref="E46:O46" si="16">EDATE(D46,-1)</f>
        <v>45170</v>
      </c>
      <c r="F46" s="1104">
        <f t="shared" si="16"/>
        <v>45139</v>
      </c>
      <c r="G46" s="1104">
        <f t="shared" si="16"/>
        <v>45108</v>
      </c>
      <c r="H46" s="1104">
        <f t="shared" si="16"/>
        <v>45078</v>
      </c>
      <c r="I46" s="1104">
        <f t="shared" si="16"/>
        <v>45047</v>
      </c>
      <c r="J46" s="1104">
        <f t="shared" si="16"/>
        <v>45017</v>
      </c>
      <c r="K46" s="1104">
        <f t="shared" si="16"/>
        <v>44986</v>
      </c>
      <c r="L46" s="1104">
        <f t="shared" si="16"/>
        <v>44958</v>
      </c>
      <c r="M46" s="1104">
        <f t="shared" si="16"/>
        <v>44927</v>
      </c>
      <c r="N46" s="1104">
        <f t="shared" si="16"/>
        <v>44896</v>
      </c>
      <c r="O46" s="1104">
        <f t="shared" si="16"/>
        <v>44866</v>
      </c>
      <c r="P46" s="2508"/>
      <c r="Q46" s="2508"/>
      <c r="R46" s="2508"/>
      <c r="S46" s="2508"/>
      <c r="T46" s="2508"/>
      <c r="U46" s="2508"/>
      <c r="V46" s="2508"/>
      <c r="W46" s="2508"/>
      <c r="X46" s="2508"/>
      <c r="Y46" s="2508"/>
      <c r="Z46" s="2508"/>
      <c r="AA46" s="2508"/>
      <c r="AB46" s="2508"/>
      <c r="AC46" s="2508"/>
      <c r="AD46" s="2508"/>
    </row>
    <row r="47" spans="1:30" s="102" customFormat="1" ht="15">
      <c r="A47" s="443"/>
      <c r="B47" s="444"/>
      <c r="C47" s="1102">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8"/>
      <c r="O49" s="2518"/>
      <c r="P49" s="2542"/>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8"/>
      <c r="O50" s="2518"/>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19"/>
      <c r="O51" s="2519"/>
      <c r="P51" s="2518"/>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0"/>
      <c r="O52" s="2520"/>
      <c r="P52" s="2518"/>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19"/>
      <c r="O53" s="2519"/>
      <c r="P53" s="2518"/>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0"/>
      <c r="O54" s="2520"/>
      <c r="P54" s="2518"/>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19"/>
      <c r="O55" s="2519"/>
      <c r="P55" s="2518"/>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0"/>
      <c r="O56" s="2520"/>
      <c r="P56" s="2518"/>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1"/>
      <c r="O57" s="2521"/>
      <c r="P57" s="2521"/>
      <c r="Q57" s="2513"/>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0"/>
      <c r="O58" s="2520"/>
      <c r="P58" s="2521"/>
      <c r="Q58" s="2513"/>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1"/>
      <c r="O59" s="2521"/>
      <c r="P59" s="2492"/>
      <c r="Q59" s="2515"/>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1"/>
      <c r="O60" s="2521"/>
      <c r="P60" s="2521"/>
      <c r="Q60" s="2513"/>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3"/>
      <c r="N65" s="2520"/>
      <c r="O65" s="2520"/>
      <c r="P65" s="2518"/>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19"/>
      <c r="O69" s="2519"/>
      <c r="P69" s="2518"/>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0"/>
      <c r="O70" s="2520"/>
      <c r="P70" s="2518"/>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8"/>
      <c r="O71" s="2518"/>
      <c r="P71" s="2518"/>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0"/>
      <c r="O72" s="2520"/>
      <c r="P72" s="2518"/>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8"/>
      <c r="O73" s="2518"/>
      <c r="P73" s="2518"/>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0"/>
      <c r="O74" s="2520"/>
      <c r="P74" s="2518"/>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1"/>
      <c r="O75" s="2521"/>
      <c r="P75" s="2521"/>
      <c r="Q75" s="2513"/>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1"/>
      <c r="O76" s="2521"/>
      <c r="P76" s="2521"/>
      <c r="Q76" s="2513"/>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19"/>
      <c r="O77" s="2519"/>
      <c r="P77" s="2518"/>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8"/>
      <c r="O80" s="2518"/>
      <c r="P80" s="2518"/>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19"/>
      <c r="O82" s="2519"/>
      <c r="P82" s="2518"/>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19"/>
      <c r="O84" s="2519"/>
      <c r="P84" s="2518"/>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19"/>
      <c r="O87" s="2519"/>
      <c r="P87" s="2518"/>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0"/>
      <c r="O88" s="2520"/>
      <c r="P88" s="2518"/>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1"/>
      <c r="O90" s="2521"/>
      <c r="P90" s="2521"/>
      <c r="Q90" s="2513"/>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19"/>
      <c r="O91" s="2519"/>
      <c r="P91" s="2518"/>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0"/>
      <c r="O92" s="2520"/>
      <c r="P92" s="2518"/>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19"/>
      <c r="O93" s="2519"/>
      <c r="P93" s="2518"/>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0"/>
      <c r="O94" s="2520"/>
      <c r="P94" s="2518"/>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0"/>
      <c r="O95" s="2520"/>
      <c r="P95" s="2520"/>
      <c r="Q95" s="2534"/>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0"/>
      <c r="O96" s="2520"/>
      <c r="P96" s="2518"/>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63" priority="13" stopIfTrue="1">
      <formula>$F$40="超过30%"</formula>
    </cfRule>
  </conditionalFormatting>
  <conditionalFormatting sqref="E41">
    <cfRule type="expression" dxfId="62" priority="11" stopIfTrue="1">
      <formula>$F$41="超过20%"</formula>
    </cfRule>
  </conditionalFormatting>
  <conditionalFormatting sqref="E42">
    <cfRule type="expression" dxfId="61" priority="10" stopIfTrue="1">
      <formula>$F$42="超过30%"</formula>
    </cfRule>
  </conditionalFormatting>
  <conditionalFormatting sqref="F7:F34 H7:H34 J7:J34">
    <cfRule type="cellIs" dxfId="60" priority="1" operator="notEqual">
      <formula>100</formula>
    </cfRule>
  </conditionalFormatting>
  <conditionalFormatting sqref="F36">
    <cfRule type="expression" dxfId="59" priority="4">
      <formula>$D$36="简单平均"</formula>
    </cfRule>
  </conditionalFormatting>
  <conditionalFormatting sqref="F40:F42 H40:H42 J40:J42">
    <cfRule type="containsText" dxfId="58" priority="14" stopIfTrue="1" operator="containsText" text="超过">
      <formula>NOT(ISERROR(SEARCH("超过",F40)))</formula>
    </cfRule>
  </conditionalFormatting>
  <conditionalFormatting sqref="G40">
    <cfRule type="expression" dxfId="57" priority="9" stopIfTrue="1">
      <formula>$H$52+$H$40="超过30%"</formula>
    </cfRule>
  </conditionalFormatting>
  <conditionalFormatting sqref="G41">
    <cfRule type="expression" dxfId="56" priority="8" stopIfTrue="1">
      <formula>$H$53+$H$41="超过20%"</formula>
    </cfRule>
  </conditionalFormatting>
  <conditionalFormatting sqref="G42">
    <cfRule type="expression" dxfId="55" priority="12" stopIfTrue="1">
      <formula>$H$54+$H$42="超过30%"</formula>
    </cfRule>
  </conditionalFormatting>
  <conditionalFormatting sqref="H36">
    <cfRule type="expression" dxfId="54" priority="3">
      <formula>$D$36="简单平均"</formula>
    </cfRule>
  </conditionalFormatting>
  <conditionalFormatting sqref="I40">
    <cfRule type="expression" dxfId="53" priority="7" stopIfTrue="1">
      <formula>$J$40="超过30%"</formula>
    </cfRule>
  </conditionalFormatting>
  <conditionalFormatting sqref="I41">
    <cfRule type="expression" dxfId="52" priority="6" stopIfTrue="1">
      <formula>$J$41="超过20%"</formula>
    </cfRule>
  </conditionalFormatting>
  <conditionalFormatting sqref="I42">
    <cfRule type="expression" dxfId="51" priority="5" stopIfTrue="1">
      <formula>$J$42="超过30%"</formula>
    </cfRule>
  </conditionalFormatting>
  <conditionalFormatting sqref="J36">
    <cfRule type="expression" dxfId="50"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5"/>
      <c r="M4" s="2486"/>
      <c r="N4" s="2486"/>
      <c r="O4" s="2486"/>
      <c r="P4" s="3407" t="s">
        <v>1775</v>
      </c>
      <c r="Q4" s="3408"/>
      <c r="R4" s="3413" t="s">
        <v>1771</v>
      </c>
      <c r="S4" s="3414"/>
      <c r="T4" s="3413" t="s">
        <v>1772</v>
      </c>
      <c r="U4" s="3414"/>
      <c r="V4" s="3389" t="s">
        <v>1773</v>
      </c>
      <c r="W4" s="3389"/>
      <c r="X4" s="1265"/>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5"/>
      <c r="M5" s="2486"/>
      <c r="N5" s="2486"/>
      <c r="O5" s="2486"/>
      <c r="P5" s="3409"/>
      <c r="Q5" s="3410"/>
      <c r="R5" s="3415"/>
      <c r="S5" s="3416"/>
      <c r="T5" s="3415"/>
      <c r="U5" s="3416"/>
      <c r="V5" s="3389"/>
      <c r="W5" s="3389"/>
      <c r="X5" s="1265"/>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2485"/>
      <c r="M6" s="2486"/>
      <c r="N6" s="2486"/>
      <c r="O6" s="2486"/>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45247</v>
      </c>
      <c r="D7" s="355">
        <v>100</v>
      </c>
      <c r="E7" s="356"/>
      <c r="F7" s="357">
        <f>SUMIF(69:69,YEAR(E7)&amp;"-"&amp;INT((MONTH(E7)+2)/3),70:70)</f>
        <v>0</v>
      </c>
      <c r="G7" s="1822"/>
      <c r="H7" s="355">
        <f>SUMIF(69:69,YEAR(G7)&amp;"-"&amp;INT((MONTH(G7)+2)/3),70:70)</f>
        <v>0</v>
      </c>
      <c r="I7" s="1822"/>
      <c r="J7" s="355">
        <f>SUMIF(69:69,YEAR(I7)&amp;"-"&amp;INT((MONTH(I7)+2)/3),70:70)</f>
        <v>0</v>
      </c>
      <c r="K7" s="38"/>
      <c r="L7" s="2487"/>
      <c r="M7" s="2438"/>
      <c r="N7" s="2438"/>
      <c r="O7" s="2438"/>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423" t="s">
        <v>1683</v>
      </c>
      <c r="Q8" s="3424"/>
      <c r="R8" s="664" t="s">
        <v>14</v>
      </c>
      <c r="S8" s="665">
        <f t="shared" si="0"/>
        <v>0</v>
      </c>
      <c r="T8" s="664" t="s">
        <v>14</v>
      </c>
      <c r="U8" s="665">
        <f t="shared" si="1"/>
        <v>0</v>
      </c>
      <c r="V8" s="664" t="s">
        <v>14</v>
      </c>
      <c r="W8" s="665">
        <f t="shared" si="2"/>
        <v>0</v>
      </c>
      <c r="X8" s="666"/>
      <c r="Y8" s="3423" t="s">
        <v>1683</v>
      </c>
      <c r="Z8" s="3424"/>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8"/>
      <c r="N9" s="2438"/>
      <c r="O9" s="2538"/>
      <c r="P9" s="3388"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125</v>
      </c>
      <c r="G10" s="402"/>
      <c r="H10" s="119">
        <f>ROUND(100/'数据-取费表'!G16,0)</f>
        <v>125</v>
      </c>
      <c r="I10" s="402"/>
      <c r="J10" s="119">
        <f>ROUND(100/'数据-取费表'!G16,0)</f>
        <v>125</v>
      </c>
      <c r="K10" s="592"/>
      <c r="L10" s="2488"/>
      <c r="M10" s="2489"/>
      <c r="N10" s="2489"/>
      <c r="O10" s="2539"/>
      <c r="P10" s="3388"/>
      <c r="Q10" s="530" t="str">
        <f t="shared" si="6"/>
        <v>土地使用年限（年）</v>
      </c>
      <c r="R10" s="664" t="s">
        <v>14</v>
      </c>
      <c r="S10" s="665">
        <f t="shared" si="0"/>
        <v>125</v>
      </c>
      <c r="T10" s="664" t="s">
        <v>14</v>
      </c>
      <c r="U10" s="665">
        <f t="shared" si="1"/>
        <v>125</v>
      </c>
      <c r="V10" s="664" t="s">
        <v>14</v>
      </c>
      <c r="W10" s="665">
        <f t="shared" si="2"/>
        <v>125</v>
      </c>
      <c r="X10" s="666"/>
      <c r="Y10" s="3263"/>
      <c r="Z10" s="50" t="str">
        <f t="shared" si="7"/>
        <v>土地使用年限（年）</v>
      </c>
      <c r="AA10" s="50">
        <f t="shared" si="3"/>
        <v>0.8</v>
      </c>
      <c r="AB10" s="50">
        <f t="shared" si="4"/>
        <v>0.8</v>
      </c>
      <c r="AC10" s="50">
        <f t="shared" si="5"/>
        <v>0.8</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0"/>
      <c r="P11" s="3388"/>
      <c r="Q11" s="530" t="str">
        <f t="shared" si="6"/>
        <v>容积率</v>
      </c>
      <c r="R11" s="664" t="s">
        <v>14</v>
      </c>
      <c r="S11" s="665" t="e">
        <f t="shared" si="0"/>
        <v>#N/A</v>
      </c>
      <c r="T11" s="664" t="s">
        <v>14</v>
      </c>
      <c r="U11" s="665" t="e">
        <f t="shared" si="1"/>
        <v>#N/A</v>
      </c>
      <c r="V11" s="664" t="s">
        <v>14</v>
      </c>
      <c r="W11" s="665" t="e">
        <f t="shared" si="2"/>
        <v>#N/A</v>
      </c>
      <c r="X11" s="666"/>
      <c r="Y11" s="3263"/>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8"/>
      <c r="P12" s="3388"/>
      <c r="Q12" s="530" t="str">
        <f t="shared" si="6"/>
        <v>配建</v>
      </c>
      <c r="R12" s="664" t="s">
        <v>14</v>
      </c>
      <c r="S12" s="665">
        <f t="shared" si="0"/>
        <v>100</v>
      </c>
      <c r="T12" s="664" t="s">
        <v>14</v>
      </c>
      <c r="U12" s="665">
        <f t="shared" si="1"/>
        <v>100</v>
      </c>
      <c r="V12" s="664" t="s">
        <v>14</v>
      </c>
      <c r="W12" s="665">
        <f t="shared" si="2"/>
        <v>100</v>
      </c>
      <c r="X12" s="666"/>
      <c r="Y12" s="326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0"/>
      <c r="P13" s="3388"/>
      <c r="Q13" s="530">
        <f t="shared" si="6"/>
        <v>111</v>
      </c>
      <c r="R13" s="664" t="s">
        <v>14</v>
      </c>
      <c r="S13" s="665">
        <f t="shared" si="0"/>
        <v>100</v>
      </c>
      <c r="T13" s="664" t="s">
        <v>14</v>
      </c>
      <c r="U13" s="665">
        <f t="shared" si="1"/>
        <v>100</v>
      </c>
      <c r="V13" s="664" t="s">
        <v>14</v>
      </c>
      <c r="W13" s="665">
        <f t="shared" si="2"/>
        <v>100</v>
      </c>
      <c r="X13" s="666"/>
      <c r="Y13" s="3263"/>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0"/>
      <c r="P14" s="3388"/>
      <c r="Q14" s="530">
        <f t="shared" si="6"/>
        <v>111</v>
      </c>
      <c r="R14" s="664" t="s">
        <v>14</v>
      </c>
      <c r="S14" s="665">
        <f t="shared" si="0"/>
        <v>100</v>
      </c>
      <c r="T14" s="664" t="s">
        <v>14</v>
      </c>
      <c r="U14" s="665">
        <f t="shared" si="1"/>
        <v>100</v>
      </c>
      <c r="V14" s="664" t="s">
        <v>14</v>
      </c>
      <c r="W14" s="665">
        <f t="shared" si="2"/>
        <v>100</v>
      </c>
      <c r="X14" s="666"/>
      <c r="Y14" s="3263"/>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0"/>
      <c r="P15" s="3390" t="s">
        <v>1691</v>
      </c>
      <c r="Q15" s="1263" t="str">
        <f t="shared" si="6"/>
        <v>居住社区成熟度</v>
      </c>
      <c r="R15" s="667" t="s">
        <v>14</v>
      </c>
      <c r="S15" s="668">
        <f t="shared" si="0"/>
        <v>100</v>
      </c>
      <c r="T15" s="667" t="s">
        <v>14</v>
      </c>
      <c r="U15" s="668">
        <f t="shared" si="1"/>
        <v>100</v>
      </c>
      <c r="V15" s="667" t="s">
        <v>14</v>
      </c>
      <c r="W15" s="668">
        <f t="shared" si="2"/>
        <v>100</v>
      </c>
      <c r="X15" s="1265"/>
      <c r="Y15" s="3390"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0"/>
      <c r="P16" s="3391"/>
      <c r="Q16" s="1263"/>
      <c r="R16" s="667"/>
      <c r="S16" s="668"/>
      <c r="T16" s="667"/>
      <c r="U16" s="668"/>
      <c r="V16" s="667"/>
      <c r="W16" s="668"/>
      <c r="X16" s="1265"/>
      <c r="Y16" s="3391"/>
      <c r="Z16" s="1264"/>
      <c r="AA16" s="1264">
        <v>1</v>
      </c>
      <c r="AB16" s="1264">
        <v>1</v>
      </c>
      <c r="AC16" s="1264">
        <v>1</v>
      </c>
    </row>
    <row r="17" spans="1:29" ht="71.25">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0"/>
      <c r="P17" s="3391"/>
      <c r="Q17" s="1263" t="str">
        <f>B17</f>
        <v>商业繁华度</v>
      </c>
      <c r="R17" s="667" t="s">
        <v>14</v>
      </c>
      <c r="S17" s="668">
        <f>F17</f>
        <v>100</v>
      </c>
      <c r="T17" s="667" t="s">
        <v>14</v>
      </c>
      <c r="U17" s="668">
        <f>H17</f>
        <v>100</v>
      </c>
      <c r="V17" s="667" t="s">
        <v>14</v>
      </c>
      <c r="W17" s="668">
        <f>J17</f>
        <v>100</v>
      </c>
      <c r="X17" s="1265"/>
      <c r="Y17" s="3391"/>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0"/>
      <c r="P18" s="3391"/>
      <c r="Q18" s="1263"/>
      <c r="R18" s="667"/>
      <c r="S18" s="668"/>
      <c r="T18" s="667"/>
      <c r="U18" s="668"/>
      <c r="V18" s="667"/>
      <c r="W18" s="668"/>
      <c r="X18" s="1265"/>
      <c r="Y18" s="3391"/>
      <c r="Z18" s="1264"/>
      <c r="AA18" s="1264">
        <v>1</v>
      </c>
      <c r="AB18" s="1264">
        <v>1</v>
      </c>
      <c r="AC18" s="1264">
        <v>1</v>
      </c>
    </row>
    <row r="19" spans="1:29" ht="71.25">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0"/>
      <c r="P19" s="3391"/>
      <c r="Q19" s="1263" t="str">
        <f>B19</f>
        <v>办公集聚程度</v>
      </c>
      <c r="R19" s="667" t="s">
        <v>14</v>
      </c>
      <c r="S19" s="668">
        <f>F19</f>
        <v>100</v>
      </c>
      <c r="T19" s="667" t="s">
        <v>14</v>
      </c>
      <c r="U19" s="668">
        <f>H19</f>
        <v>100</v>
      </c>
      <c r="V19" s="667" t="s">
        <v>14</v>
      </c>
      <c r="W19" s="668">
        <f>J19</f>
        <v>100</v>
      </c>
      <c r="X19" s="1265"/>
      <c r="Y19" s="3391"/>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0"/>
      <c r="P20" s="3391"/>
      <c r="Q20" s="1263"/>
      <c r="R20" s="667"/>
      <c r="S20" s="668"/>
      <c r="T20" s="667"/>
      <c r="U20" s="668"/>
      <c r="V20" s="667"/>
      <c r="W20" s="668"/>
      <c r="X20" s="1265"/>
      <c r="Y20" s="3391"/>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0"/>
      <c r="P21" s="3391"/>
      <c r="Q21" s="1263" t="str">
        <f>B21</f>
        <v>交通便捷度</v>
      </c>
      <c r="R21" s="667" t="s">
        <v>14</v>
      </c>
      <c r="S21" s="668">
        <f>F21</f>
        <v>100</v>
      </c>
      <c r="T21" s="667" t="s">
        <v>14</v>
      </c>
      <c r="U21" s="668">
        <f>H21</f>
        <v>100</v>
      </c>
      <c r="V21" s="667" t="s">
        <v>14</v>
      </c>
      <c r="W21" s="668">
        <f>J21</f>
        <v>100</v>
      </c>
      <c r="X21" s="1265"/>
      <c r="Y21" s="3391"/>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0"/>
      <c r="P22" s="3391"/>
      <c r="Q22" s="1263"/>
      <c r="R22" s="667"/>
      <c r="S22" s="668"/>
      <c r="T22" s="667"/>
      <c r="U22" s="668"/>
      <c r="V22" s="667"/>
      <c r="W22" s="668"/>
      <c r="X22" s="1265"/>
      <c r="Y22" s="3391"/>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0"/>
      <c r="P23" s="3391"/>
      <c r="Q23" s="1263" t="str">
        <f t="shared" ref="Q23:Q37" si="8">B23</f>
        <v>区域土地利用方向</v>
      </c>
      <c r="R23" s="667" t="s">
        <v>14</v>
      </c>
      <c r="S23" s="668">
        <f>F23</f>
        <v>100</v>
      </c>
      <c r="T23" s="667" t="s">
        <v>14</v>
      </c>
      <c r="U23" s="668">
        <f>H23</f>
        <v>100</v>
      </c>
      <c r="V23" s="667" t="s">
        <v>14</v>
      </c>
      <c r="W23" s="668">
        <f>J23</f>
        <v>100</v>
      </c>
      <c r="X23" s="1265"/>
      <c r="Y23" s="3391"/>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0"/>
      <c r="P24" s="3391"/>
      <c r="Q24" s="1263"/>
      <c r="R24" s="667"/>
      <c r="S24" s="668"/>
      <c r="T24" s="667"/>
      <c r="U24" s="668"/>
      <c r="V24" s="667"/>
      <c r="W24" s="668"/>
      <c r="X24" s="1265"/>
      <c r="Y24" s="3391"/>
      <c r="Z24" s="1264"/>
      <c r="AA24" s="1264"/>
      <c r="AB24" s="1264"/>
      <c r="AC24" s="1264"/>
    </row>
    <row r="25" spans="1:29" ht="57">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0"/>
      <c r="P25" s="3391"/>
      <c r="Q25" s="1263" t="str">
        <f t="shared" si="8"/>
        <v>自然及人文环境状况</v>
      </c>
      <c r="R25" s="667" t="s">
        <v>14</v>
      </c>
      <c r="S25" s="668">
        <f>F25</f>
        <v>100</v>
      </c>
      <c r="T25" s="667" t="s">
        <v>14</v>
      </c>
      <c r="U25" s="668">
        <f>H25</f>
        <v>100</v>
      </c>
      <c r="V25" s="667" t="s">
        <v>14</v>
      </c>
      <c r="W25" s="668">
        <f>J25</f>
        <v>100</v>
      </c>
      <c r="X25" s="1265"/>
      <c r="Y25" s="3391"/>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0"/>
      <c r="P26" s="3391"/>
      <c r="Q26" s="1263"/>
      <c r="R26" s="667"/>
      <c r="S26" s="668"/>
      <c r="T26" s="667"/>
      <c r="U26" s="668"/>
      <c r="V26" s="667"/>
      <c r="W26" s="668"/>
      <c r="X26" s="1265"/>
      <c r="Y26" s="3391"/>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8"/>
      <c r="P27" s="3391"/>
      <c r="Q27" s="530" t="str">
        <f t="shared" si="8"/>
        <v>公共配套设施</v>
      </c>
      <c r="R27" s="664" t="s">
        <v>14</v>
      </c>
      <c r="S27" s="665">
        <f>F27</f>
        <v>100</v>
      </c>
      <c r="T27" s="664" t="s">
        <v>14</v>
      </c>
      <c r="U27" s="665">
        <f>H27</f>
        <v>100</v>
      </c>
      <c r="V27" s="664" t="s">
        <v>14</v>
      </c>
      <c r="W27" s="665">
        <f>J27</f>
        <v>100</v>
      </c>
      <c r="X27" s="666"/>
      <c r="Y27" s="3391"/>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8"/>
      <c r="N28" s="2438"/>
      <c r="O28" s="2538"/>
      <c r="P28" s="3391"/>
      <c r="Q28" s="530"/>
      <c r="R28" s="664"/>
      <c r="S28" s="665"/>
      <c r="T28" s="664"/>
      <c r="U28" s="665"/>
      <c r="V28" s="664"/>
      <c r="W28" s="665"/>
      <c r="X28" s="666"/>
      <c r="Y28" s="3391"/>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8"/>
      <c r="P29" s="3391"/>
      <c r="Q29" s="530" t="str">
        <f t="shared" ref="Q29" si="9">B29</f>
        <v>基础设施水平</v>
      </c>
      <c r="R29" s="664" t="s">
        <v>14</v>
      </c>
      <c r="S29" s="665">
        <f>F29</f>
        <v>100</v>
      </c>
      <c r="T29" s="664" t="s">
        <v>14</v>
      </c>
      <c r="U29" s="665">
        <f>H29</f>
        <v>100</v>
      </c>
      <c r="V29" s="664" t="s">
        <v>14</v>
      </c>
      <c r="W29" s="665">
        <f>J29</f>
        <v>100</v>
      </c>
      <c r="X29" s="666"/>
      <c r="Y29" s="3391"/>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8"/>
      <c r="N30" s="2438"/>
      <c r="O30" s="2538"/>
      <c r="P30" s="3391"/>
      <c r="Q30" s="530"/>
      <c r="R30" s="664"/>
      <c r="S30" s="665"/>
      <c r="T30" s="664"/>
      <c r="U30" s="665"/>
      <c r="V30" s="664"/>
      <c r="W30" s="665"/>
      <c r="X30" s="666"/>
      <c r="Y30" s="3391"/>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0"/>
      <c r="P31" s="3391"/>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91"/>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0"/>
      <c r="P32" s="3391"/>
      <c r="Q32" s="1263" t="str">
        <f t="shared" si="8"/>
        <v>毗邻道路的类型与等级</v>
      </c>
      <c r="R32" s="667" t="s">
        <v>14</v>
      </c>
      <c r="S32" s="668">
        <f t="shared" si="10"/>
        <v>100</v>
      </c>
      <c r="T32" s="667" t="s">
        <v>14</v>
      </c>
      <c r="U32" s="668">
        <f t="shared" si="11"/>
        <v>100</v>
      </c>
      <c r="V32" s="667" t="s">
        <v>14</v>
      </c>
      <c r="W32" s="668">
        <f t="shared" si="12"/>
        <v>100</v>
      </c>
      <c r="X32" s="1265"/>
      <c r="Y32" s="3391"/>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0"/>
      <c r="P33" s="3391"/>
      <c r="Q33" s="1263"/>
      <c r="R33" s="667"/>
      <c r="S33" s="668"/>
      <c r="T33" s="667"/>
      <c r="U33" s="668"/>
      <c r="V33" s="667"/>
      <c r="W33" s="668"/>
      <c r="X33" s="1265"/>
      <c r="Y33" s="3391"/>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0"/>
      <c r="P34" s="3391"/>
      <c r="Q34" s="1263" t="str">
        <f t="shared" si="8"/>
        <v>土地级别</v>
      </c>
      <c r="R34" s="667" t="s">
        <v>14</v>
      </c>
      <c r="S34" s="668">
        <f t="shared" si="10"/>
        <v>100</v>
      </c>
      <c r="T34" s="667" t="s">
        <v>14</v>
      </c>
      <c r="U34" s="668">
        <f t="shared" si="11"/>
        <v>100</v>
      </c>
      <c r="V34" s="667" t="s">
        <v>14</v>
      </c>
      <c r="W34" s="668">
        <f t="shared" si="12"/>
        <v>100</v>
      </c>
      <c r="X34" s="1265"/>
      <c r="Y34" s="3391"/>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0"/>
      <c r="P35" s="3391"/>
      <c r="Q35" s="1263">
        <f t="shared" si="8"/>
        <v>111</v>
      </c>
      <c r="R35" s="667" t="s">
        <v>14</v>
      </c>
      <c r="S35" s="668">
        <f t="shared" si="10"/>
        <v>100</v>
      </c>
      <c r="T35" s="667" t="s">
        <v>14</v>
      </c>
      <c r="U35" s="668">
        <f t="shared" si="11"/>
        <v>100</v>
      </c>
      <c r="V35" s="667" t="s">
        <v>14</v>
      </c>
      <c r="W35" s="668">
        <f t="shared" si="12"/>
        <v>100</v>
      </c>
      <c r="X35" s="1265"/>
      <c r="Y35" s="3391"/>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0"/>
      <c r="P36" s="3445" t="s">
        <v>1696</v>
      </c>
      <c r="Q36" s="1263">
        <f t="shared" si="8"/>
        <v>111</v>
      </c>
      <c r="R36" s="667" t="s">
        <v>14</v>
      </c>
      <c r="S36" s="668">
        <f t="shared" si="10"/>
        <v>100</v>
      </c>
      <c r="T36" s="667" t="s">
        <v>14</v>
      </c>
      <c r="U36" s="668">
        <f t="shared" si="11"/>
        <v>100</v>
      </c>
      <c r="V36" s="667" t="s">
        <v>14</v>
      </c>
      <c r="W36" s="668">
        <f t="shared" si="12"/>
        <v>100</v>
      </c>
      <c r="X36" s="1265"/>
      <c r="Y36" s="3395"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1"/>
      <c r="P37" s="3395"/>
      <c r="Q37" s="1263">
        <f t="shared" si="8"/>
        <v>111</v>
      </c>
      <c r="R37" s="669" t="s">
        <v>14</v>
      </c>
      <c r="S37" s="670">
        <f t="shared" si="10"/>
        <v>100</v>
      </c>
      <c r="T37" s="669" t="s">
        <v>14</v>
      </c>
      <c r="U37" s="670">
        <f t="shared" si="11"/>
        <v>100</v>
      </c>
      <c r="V37" s="669" t="s">
        <v>14</v>
      </c>
      <c r="W37" s="670">
        <f t="shared" si="12"/>
        <v>100</v>
      </c>
      <c r="X37" s="671"/>
      <c r="Y37" s="3395"/>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0"/>
      <c r="P38" s="3395"/>
      <c r="Q38" s="1263" t="str">
        <f>B38</f>
        <v>宗地面积</v>
      </c>
      <c r="R38" s="667" t="s">
        <v>14</v>
      </c>
      <c r="S38" s="668" t="e">
        <f t="shared" si="10"/>
        <v>#N/A</v>
      </c>
      <c r="T38" s="667" t="s">
        <v>14</v>
      </c>
      <c r="U38" s="668" t="e">
        <f t="shared" si="11"/>
        <v>#N/A</v>
      </c>
      <c r="V38" s="667" t="s">
        <v>14</v>
      </c>
      <c r="W38" s="668" t="e">
        <f t="shared" si="12"/>
        <v>#N/A</v>
      </c>
      <c r="X38" s="1265"/>
      <c r="Y38" s="3395"/>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0"/>
      <c r="P39" s="3395"/>
      <c r="Q39" s="1263" t="str">
        <f t="shared" ref="Q39:Q45" si="14">B39</f>
        <v>宗地形状</v>
      </c>
      <c r="R39" s="667" t="s">
        <v>14</v>
      </c>
      <c r="S39" s="668">
        <f t="shared" si="10"/>
        <v>100</v>
      </c>
      <c r="T39" s="667" t="s">
        <v>14</v>
      </c>
      <c r="U39" s="668">
        <f t="shared" si="11"/>
        <v>100</v>
      </c>
      <c r="V39" s="667" t="s">
        <v>14</v>
      </c>
      <c r="W39" s="668">
        <f t="shared" si="12"/>
        <v>100</v>
      </c>
      <c r="X39" s="1265"/>
      <c r="Y39" s="3395"/>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0"/>
      <c r="P40" s="3395"/>
      <c r="Q40" s="1263" t="str">
        <f t="shared" si="14"/>
        <v>临街宽度及深度</v>
      </c>
      <c r="R40" s="667" t="s">
        <v>14</v>
      </c>
      <c r="S40" s="668">
        <f t="shared" si="10"/>
        <v>100</v>
      </c>
      <c r="T40" s="667" t="s">
        <v>14</v>
      </c>
      <c r="U40" s="668">
        <f t="shared" si="11"/>
        <v>100</v>
      </c>
      <c r="V40" s="667" t="s">
        <v>14</v>
      </c>
      <c r="W40" s="668">
        <f t="shared" si="12"/>
        <v>100</v>
      </c>
      <c r="X40" s="1265"/>
      <c r="Y40" s="3395"/>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8"/>
      <c r="N41" s="2438"/>
      <c r="O41" s="2538"/>
      <c r="P41" s="3395"/>
      <c r="Q41" s="1263" t="str">
        <f t="shared" si="14"/>
        <v>宗地开发程度</v>
      </c>
      <c r="R41" s="664" t="s">
        <v>14</v>
      </c>
      <c r="S41" s="665">
        <f t="shared" si="10"/>
        <v>100</v>
      </c>
      <c r="T41" s="664" t="s">
        <v>14</v>
      </c>
      <c r="U41" s="665">
        <f t="shared" si="11"/>
        <v>100</v>
      </c>
      <c r="V41" s="664" t="s">
        <v>14</v>
      </c>
      <c r="W41" s="665">
        <f t="shared" si="12"/>
        <v>100</v>
      </c>
      <c r="X41" s="666"/>
      <c r="Y41" s="3395"/>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0"/>
      <c r="P42" s="3395" t="s">
        <v>1696</v>
      </c>
      <c r="Q42" s="1263" t="str">
        <f t="shared" si="14"/>
        <v>工程地质条件</v>
      </c>
      <c r="R42" s="667" t="s">
        <v>14</v>
      </c>
      <c r="S42" s="668">
        <f t="shared" si="10"/>
        <v>100</v>
      </c>
      <c r="T42" s="667" t="s">
        <v>14</v>
      </c>
      <c r="U42" s="668">
        <f t="shared" si="11"/>
        <v>100</v>
      </c>
      <c r="V42" s="667" t="s">
        <v>14</v>
      </c>
      <c r="W42" s="668">
        <f t="shared" si="12"/>
        <v>100</v>
      </c>
      <c r="X42" s="1265"/>
      <c r="Y42" s="3395"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0"/>
      <c r="P43" s="3395"/>
      <c r="Q43" s="1263">
        <f t="shared" si="14"/>
        <v>111</v>
      </c>
      <c r="R43" s="667" t="s">
        <v>14</v>
      </c>
      <c r="S43" s="668">
        <f t="shared" si="10"/>
        <v>100</v>
      </c>
      <c r="T43" s="667" t="s">
        <v>14</v>
      </c>
      <c r="U43" s="668">
        <f t="shared" si="11"/>
        <v>100</v>
      </c>
      <c r="V43" s="667" t="s">
        <v>14</v>
      </c>
      <c r="W43" s="668">
        <f t="shared" si="12"/>
        <v>100</v>
      </c>
      <c r="X43" s="1265"/>
      <c r="Y43" s="3395"/>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0"/>
      <c r="P44" s="3395"/>
      <c r="Q44" s="1263">
        <f t="shared" si="14"/>
        <v>111</v>
      </c>
      <c r="R44" s="667" t="s">
        <v>14</v>
      </c>
      <c r="S44" s="668">
        <f t="shared" si="10"/>
        <v>100</v>
      </c>
      <c r="T44" s="667" t="s">
        <v>14</v>
      </c>
      <c r="U44" s="668">
        <f t="shared" si="11"/>
        <v>100</v>
      </c>
      <c r="V44" s="667" t="s">
        <v>14</v>
      </c>
      <c r="W44" s="668">
        <f t="shared" si="12"/>
        <v>100</v>
      </c>
      <c r="X44" s="1265"/>
      <c r="Y44" s="3395"/>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1"/>
      <c r="P45" s="3395"/>
      <c r="Q45" s="1263">
        <f t="shared" si="14"/>
        <v>111</v>
      </c>
      <c r="R45" s="669" t="s">
        <v>14</v>
      </c>
      <c r="S45" s="670">
        <f t="shared" si="10"/>
        <v>100</v>
      </c>
      <c r="T45" s="669" t="s">
        <v>14</v>
      </c>
      <c r="U45" s="670">
        <f t="shared" si="11"/>
        <v>100</v>
      </c>
      <c r="V45" s="669" t="s">
        <v>14</v>
      </c>
      <c r="W45" s="670">
        <f t="shared" si="12"/>
        <v>100</v>
      </c>
      <c r="X45" s="671"/>
      <c r="Y45" s="3395"/>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3"/>
      <c r="M46" s="2486"/>
      <c r="N46" s="2486"/>
      <c r="O46" s="2486"/>
      <c r="P46" s="3388" t="str">
        <f>A46</f>
        <v>成交单价</v>
      </c>
      <c r="Q46" s="3388"/>
      <c r="R46" s="3389">
        <f>E46</f>
        <v>0</v>
      </c>
      <c r="S46" s="3389"/>
      <c r="T46" s="3389">
        <f>G46</f>
        <v>0</v>
      </c>
      <c r="U46" s="3389"/>
      <c r="V46" s="3389">
        <f>I46</f>
        <v>0</v>
      </c>
      <c r="W46" s="3389"/>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3"/>
      <c r="M47" s="2486"/>
      <c r="N47" s="2486"/>
      <c r="O47" s="2486"/>
      <c r="P47" s="3388" t="str">
        <f>A47</f>
        <v>比较价值（元/平方米）</v>
      </c>
      <c r="Q47" s="3388"/>
      <c r="R47" s="3447" t="e">
        <f>ROUND(PRODUCT(R46,AA7:AA45),0)</f>
        <v>#DIV/0!</v>
      </c>
      <c r="S47" s="3447"/>
      <c r="T47" s="3447" t="e">
        <f>ROUND(PRODUCT(T46,AB7:AB45),0)</f>
        <v>#DIV/0!</v>
      </c>
      <c r="U47" s="3447"/>
      <c r="V47" s="3447" t="e">
        <f>ROUND(PRODUCT(V46,AC7:AC45),0)</f>
        <v>#DIV/0!</v>
      </c>
      <c r="W47" s="3447"/>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3"/>
      <c r="M48" s="2486"/>
      <c r="N48" s="2486"/>
      <c r="O48" s="2486"/>
      <c r="P48" s="3385" t="str">
        <f>A48</f>
        <v>估价对象XX用房的比较价值（楼面单价，元/平方米）</v>
      </c>
      <c r="Q48" s="3386"/>
      <c r="R48" s="3448" t="e">
        <f>ROUND(IF(D47="简单平均",AVERAGE(R47:W47),R47*F47+T47*H47+V47*J47),0)</f>
        <v>#DIV/0!</v>
      </c>
      <c r="S48" s="3448"/>
      <c r="T48" s="3448"/>
      <c r="U48" s="3448"/>
      <c r="V48" s="3448"/>
      <c r="W48" s="3448"/>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403" t="s">
        <v>1887</v>
      </c>
      <c r="H55" s="3449"/>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69.63</v>
      </c>
      <c r="F56" s="833" t="e">
        <f t="shared" ref="F56:F64" si="15">ROUND(B56*E56/10000,0)</f>
        <v>#DIV/0!</v>
      </c>
      <c r="G56" s="3399"/>
      <c r="H56" s="3388"/>
      <c r="I56" s="838">
        <v>1</v>
      </c>
      <c r="J56" s="841">
        <v>1</v>
      </c>
      <c r="K56" s="2496"/>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0.6</v>
      </c>
      <c r="D57" s="891">
        <v>0.25</v>
      </c>
      <c r="E57" s="614"/>
      <c r="F57" s="833" t="e">
        <f t="shared" si="15"/>
        <v>#DIV/0!</v>
      </c>
      <c r="G57" s="2748" t="s">
        <v>1892</v>
      </c>
      <c r="H57" s="834" t="str">
        <f>项目基本情况!B37</f>
        <v>四级</v>
      </c>
      <c r="I57" s="838">
        <f>SUMIF(修正!A57:A68,H57,修正!B57:B68)</f>
        <v>0.6</v>
      </c>
      <c r="J57" s="842"/>
      <c r="K57" s="2486"/>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0.3</v>
      </c>
      <c r="D58" s="891">
        <v>0.25</v>
      </c>
      <c r="E58" s="614"/>
      <c r="F58" s="833" t="e">
        <f t="shared" si="15"/>
        <v>#DIV/0!</v>
      </c>
      <c r="G58" s="2749"/>
      <c r="H58" s="834" t="str">
        <f>项目基本情况!B37</f>
        <v>四级</v>
      </c>
      <c r="I58" s="838">
        <f>SUMIF(修正!A57:A68,H58,修正!C57:C68)</f>
        <v>0.3</v>
      </c>
      <c r="J58" s="842"/>
      <c r="K58" s="2496"/>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0.25</v>
      </c>
      <c r="D59" s="891">
        <v>0.25</v>
      </c>
      <c r="E59" s="614"/>
      <c r="F59" s="833" t="e">
        <f t="shared" si="15"/>
        <v>#DIV/0!</v>
      </c>
      <c r="G59" s="2749"/>
      <c r="H59" s="834" t="str">
        <f>项目基本情况!B37</f>
        <v>四级</v>
      </c>
      <c r="I59" s="838">
        <f>SUMIF(修正!A57:A68,H59,修正!D57:D68)</f>
        <v>0.25</v>
      </c>
      <c r="J59" s="842"/>
      <c r="K59" s="2486"/>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6"/>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0.15</v>
      </c>
      <c r="D63" s="891">
        <v>0.25</v>
      </c>
      <c r="E63" s="209">
        <f>'数据-汇总表'!E14</f>
        <v>0</v>
      </c>
      <c r="F63" s="833" t="e">
        <f t="shared" si="15"/>
        <v>#DIV/0!</v>
      </c>
      <c r="G63" s="1835" t="s">
        <v>1892</v>
      </c>
      <c r="H63" s="834" t="str">
        <f>项目基本情况!B37</f>
        <v>四级</v>
      </c>
      <c r="I63" s="838">
        <f>SUMIF(修正!A57:A68,H63,修正!G57:G68)</f>
        <v>0.15</v>
      </c>
      <c r="J63" s="842"/>
      <c r="K63" s="2496"/>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6"/>
      <c r="L64" s="2544"/>
      <c r="M64" s="2544"/>
      <c r="N64" s="2544"/>
      <c r="O64" s="2544"/>
      <c r="P64" s="2544"/>
      <c r="Q64" s="2544"/>
      <c r="R64" s="2544"/>
      <c r="S64" s="2544"/>
      <c r="T64" s="2544"/>
      <c r="U64" s="2544"/>
      <c r="V64" s="2544"/>
      <c r="W64" s="2544"/>
      <c r="X64" s="2544"/>
      <c r="Y64" s="2544"/>
      <c r="Z64" s="2544"/>
      <c r="AA64" s="2544"/>
      <c r="AB64" s="2544"/>
      <c r="AC64" s="2544"/>
    </row>
    <row r="65" spans="1:29" s="612" customFormat="1" ht="13.5" thickBot="1">
      <c r="A65" s="615" t="s">
        <v>1903</v>
      </c>
      <c r="B65" s="616" t="s">
        <v>22</v>
      </c>
      <c r="C65" s="616" t="s">
        <v>23</v>
      </c>
      <c r="D65" s="616" t="s">
        <v>392</v>
      </c>
      <c r="E65" s="616">
        <f>IF(B46="楼面地价",SUM(E56:E64),'数据-汇总表'!D3)</f>
        <v>69.63</v>
      </c>
      <c r="F65" s="617" t="e">
        <f>IF(B46="楼面地价",SUM(F56:F64),ROUND(C48*E65/10000,0))</f>
        <v>#DIV/0!</v>
      </c>
      <c r="G65" s="677"/>
      <c r="H65" s="677"/>
      <c r="I65" s="677"/>
      <c r="J65" s="677"/>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2023-11-1</v>
      </c>
      <c r="D67" s="656">
        <f>EDATE(C67,-3)</f>
        <v>45139</v>
      </c>
      <c r="E67" s="656">
        <f>EDATE(D67,-3)</f>
        <v>45047</v>
      </c>
      <c r="F67" s="656">
        <f t="shared" ref="F67:O67" si="18">EDATE(E67,-3)</f>
        <v>44958</v>
      </c>
      <c r="G67" s="656">
        <f t="shared" si="18"/>
        <v>44866</v>
      </c>
      <c r="H67" s="656">
        <f t="shared" si="18"/>
        <v>44774</v>
      </c>
      <c r="I67" s="656">
        <f t="shared" si="18"/>
        <v>44682</v>
      </c>
      <c r="J67" s="656">
        <f t="shared" si="18"/>
        <v>44593</v>
      </c>
      <c r="K67" s="656">
        <f t="shared" si="18"/>
        <v>44501</v>
      </c>
      <c r="L67" s="656">
        <f t="shared" si="18"/>
        <v>44409</v>
      </c>
      <c r="M67" s="656">
        <f t="shared" si="18"/>
        <v>44317</v>
      </c>
      <c r="N67" s="656">
        <f t="shared" si="18"/>
        <v>44228</v>
      </c>
      <c r="O67" s="656">
        <f t="shared" si="18"/>
        <v>44136</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6"/>
      <c r="K68" s="887"/>
      <c r="L68" s="888"/>
      <c r="M68" s="886"/>
      <c r="N68" s="2535"/>
      <c r="O68" s="2535"/>
      <c r="P68" s="2535"/>
      <c r="Q68" s="2507"/>
      <c r="R68" s="2486"/>
      <c r="S68" s="2486"/>
      <c r="T68" s="2486"/>
      <c r="U68" s="2486"/>
      <c r="V68" s="2486"/>
      <c r="W68" s="2486"/>
      <c r="X68" s="2486"/>
      <c r="Y68" s="2486"/>
      <c r="Z68" s="2486"/>
      <c r="AA68" s="2486"/>
      <c r="AB68" s="2486"/>
      <c r="AC68" s="2486"/>
    </row>
    <row r="69" spans="1:29" s="442" customFormat="1" ht="15">
      <c r="A69" s="1630" t="s">
        <v>1904</v>
      </c>
      <c r="B69" s="1046"/>
      <c r="C69" s="1101" t="str">
        <f>YEAR(C67)&amp;"-"&amp;ROUNDUP(MONTH(C67)/3,0)</f>
        <v>2023-4</v>
      </c>
      <c r="D69" s="1101" t="str">
        <f>YEAR(D67)&amp;"-"&amp;ROUNDUP(MONTH(D67)/3,0)</f>
        <v>2023-3</v>
      </c>
      <c r="E69" s="1101" t="str">
        <f t="shared" ref="E69:O69" si="19">YEAR(E67)&amp;"-"&amp;ROUNDUP(MONTH(E67)/3,0)</f>
        <v>2023-2</v>
      </c>
      <c r="F69" s="1101" t="str">
        <f t="shared" si="19"/>
        <v>2023-1</v>
      </c>
      <c r="G69" s="1101" t="str">
        <f t="shared" si="19"/>
        <v>2022-4</v>
      </c>
      <c r="H69" s="1101" t="str">
        <f t="shared" si="19"/>
        <v>2022-3</v>
      </c>
      <c r="I69" s="1101" t="str">
        <f t="shared" si="19"/>
        <v>2022-2</v>
      </c>
      <c r="J69" s="1101" t="str">
        <f t="shared" si="19"/>
        <v>2022-1</v>
      </c>
      <c r="K69" s="1101" t="str">
        <f t="shared" si="19"/>
        <v>2021-4</v>
      </c>
      <c r="L69" s="1101" t="str">
        <f t="shared" si="19"/>
        <v>2021-3</v>
      </c>
      <c r="M69" s="1101" t="str">
        <f t="shared" si="19"/>
        <v>2021-2</v>
      </c>
      <c r="N69" s="1101" t="str">
        <f t="shared" si="19"/>
        <v>2021-1</v>
      </c>
      <c r="O69" s="1101" t="str">
        <f t="shared" si="19"/>
        <v>2020-4</v>
      </c>
      <c r="P69" s="2508"/>
      <c r="Q69" s="2508"/>
      <c r="R69" s="2508"/>
      <c r="S69" s="2508"/>
      <c r="T69" s="2508"/>
      <c r="U69" s="2508"/>
      <c r="V69" s="2508"/>
      <c r="W69" s="2508"/>
      <c r="X69" s="2508"/>
      <c r="Y69" s="2508"/>
      <c r="Z69" s="2508"/>
      <c r="AA69" s="2508"/>
      <c r="AB69" s="2508"/>
      <c r="AC69" s="2508"/>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9"/>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8"/>
      <c r="O72" s="2518"/>
      <c r="P72" s="2542"/>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8"/>
      <c r="O73" s="2518"/>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19"/>
      <c r="O74" s="2519"/>
      <c r="P74" s="2518"/>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0"/>
      <c r="O75" s="2520"/>
      <c r="P75" s="2518"/>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19"/>
      <c r="O76" s="2519"/>
      <c r="P76" s="2518"/>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0"/>
      <c r="O77" s="2520"/>
      <c r="P77" s="2518"/>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19"/>
      <c r="O79" s="2519"/>
      <c r="P79" s="2518"/>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1"/>
      <c r="O81" s="2521"/>
      <c r="P81" s="2521"/>
      <c r="Q81" s="2513"/>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0"/>
      <c r="O82" s="2520"/>
      <c r="P82" s="2521"/>
      <c r="Q82" s="2513"/>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1"/>
      <c r="O83" s="2521"/>
      <c r="P83" s="2492"/>
      <c r="Q83" s="2515"/>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1"/>
      <c r="O84" s="2521"/>
      <c r="P84" s="2521"/>
      <c r="Q84" s="2513"/>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1"/>
      <c r="O85" s="2521"/>
      <c r="P85" s="2546"/>
      <c r="Q85" s="2513"/>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1"/>
      <c r="O86" s="2521"/>
      <c r="P86" s="2521"/>
      <c r="Q86" s="2513"/>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1"/>
      <c r="O101" s="2521"/>
      <c r="P101" s="2521"/>
      <c r="Q101" s="2513"/>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1"/>
      <c r="O102" s="2521"/>
      <c r="P102" s="2521"/>
      <c r="Q102" s="2513"/>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19"/>
      <c r="O105" s="2519"/>
      <c r="P105" s="2518"/>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19"/>
      <c r="O107" s="2519"/>
      <c r="P107" s="2518"/>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19"/>
      <c r="O109" s="2519"/>
      <c r="P109" s="2518"/>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0"/>
      <c r="O110" s="2520"/>
      <c r="P110" s="2518"/>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19"/>
      <c r="O111" s="2519"/>
      <c r="P111" s="2518"/>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0"/>
      <c r="O112" s="2520"/>
      <c r="P112" s="2518"/>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1"/>
      <c r="O113" s="2521"/>
      <c r="P113" s="2521"/>
      <c r="Q113" s="2513"/>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0"/>
      <c r="O114" s="2520"/>
      <c r="P114" s="2521"/>
      <c r="Q114" s="2513"/>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19"/>
      <c r="O116" s="2519"/>
      <c r="P116" s="2518"/>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0"/>
      <c r="O117" s="2520"/>
      <c r="P117" s="2518"/>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19"/>
      <c r="O118" s="2519"/>
      <c r="P118" s="2518"/>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19"/>
      <c r="O120" s="2519"/>
      <c r="P120" s="2518"/>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19"/>
      <c r="O124" s="2519"/>
      <c r="P124" s="2518"/>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19"/>
      <c r="O126" s="2519"/>
      <c r="P126" s="2518"/>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0"/>
      <c r="O127" s="2520"/>
      <c r="P127" s="2518"/>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19"/>
      <c r="O128" s="2519"/>
      <c r="P128" s="2518"/>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0"/>
      <c r="O129" s="2520"/>
      <c r="P129" s="2518"/>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1"/>
      <c r="O130" s="2521"/>
      <c r="P130" s="2521"/>
      <c r="Q130" s="2513"/>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1"/>
      <c r="O131" s="2521"/>
      <c r="P131" s="2521"/>
      <c r="Q131" s="2513"/>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49" priority="13" stopIfTrue="1">
      <formula>$F$51="超过30%"</formula>
    </cfRule>
  </conditionalFormatting>
  <conditionalFormatting sqref="E52">
    <cfRule type="expression" dxfId="48" priority="11" stopIfTrue="1">
      <formula>$F$52="超过20%"</formula>
    </cfRule>
  </conditionalFormatting>
  <conditionalFormatting sqref="E53">
    <cfRule type="expression" dxfId="47" priority="10" stopIfTrue="1">
      <formula>$F$53="超过30%"</formula>
    </cfRule>
  </conditionalFormatting>
  <conditionalFormatting sqref="F7:F45 H7:H45 J7:J45">
    <cfRule type="cellIs" dxfId="46" priority="1" operator="notEqual">
      <formula>100</formula>
    </cfRule>
  </conditionalFormatting>
  <conditionalFormatting sqref="F47">
    <cfRule type="expression" dxfId="45" priority="4">
      <formula>$D$47="简单平均"</formula>
    </cfRule>
  </conditionalFormatting>
  <conditionalFormatting sqref="F51:F53 H51:H53 J51:J53">
    <cfRule type="containsText" dxfId="44" priority="14" stopIfTrue="1" operator="containsText" text="超过">
      <formula>NOT(ISERROR(SEARCH("超过",F51)))</formula>
    </cfRule>
  </conditionalFormatting>
  <conditionalFormatting sqref="G51">
    <cfRule type="expression" dxfId="43" priority="9" stopIfTrue="1">
      <formula>$H$53+$H$51="超过30%"</formula>
    </cfRule>
  </conditionalFormatting>
  <conditionalFormatting sqref="G52">
    <cfRule type="expression" dxfId="42" priority="8" stopIfTrue="1">
      <formula>$H$52="超过20%"</formula>
    </cfRule>
  </conditionalFormatting>
  <conditionalFormatting sqref="G53">
    <cfRule type="expression" dxfId="41" priority="12" stopIfTrue="1">
      <formula>$H$53="超过30%"</formula>
    </cfRule>
  </conditionalFormatting>
  <conditionalFormatting sqref="H47">
    <cfRule type="expression" dxfId="40" priority="3">
      <formula>$D$47="简单平均"</formula>
    </cfRule>
  </conditionalFormatting>
  <conditionalFormatting sqref="I51">
    <cfRule type="expression" dxfId="39" priority="7" stopIfTrue="1">
      <formula>$J$51="超过30%"</formula>
    </cfRule>
  </conditionalFormatting>
  <conditionalFormatting sqref="I52">
    <cfRule type="expression" dxfId="38" priority="6" stopIfTrue="1">
      <formula>$J$52="超过20%"</formula>
    </cfRule>
  </conditionalFormatting>
  <conditionalFormatting sqref="I53">
    <cfRule type="expression" dxfId="37" priority="5" stopIfTrue="1">
      <formula>$J$53="超过30%"</formula>
    </cfRule>
  </conditionalFormatting>
  <conditionalFormatting sqref="J47">
    <cfRule type="expression" dxfId="36"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5"/>
      <c r="M4" s="2486"/>
      <c r="N4" s="2486"/>
      <c r="O4" s="2486"/>
      <c r="P4" s="3407" t="s">
        <v>1775</v>
      </c>
      <c r="Q4" s="3408"/>
      <c r="R4" s="3413" t="s">
        <v>1771</v>
      </c>
      <c r="S4" s="3414"/>
      <c r="T4" s="3413" t="s">
        <v>1772</v>
      </c>
      <c r="U4" s="3414"/>
      <c r="V4" s="3389" t="s">
        <v>1773</v>
      </c>
      <c r="W4" s="3389"/>
      <c r="X4" s="1265"/>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5"/>
      <c r="M5" s="2486"/>
      <c r="N5" s="2486"/>
      <c r="O5" s="2486"/>
      <c r="P5" s="3409"/>
      <c r="Q5" s="3410"/>
      <c r="R5" s="3415"/>
      <c r="S5" s="3416"/>
      <c r="T5" s="3415"/>
      <c r="U5" s="3416"/>
      <c r="V5" s="3389"/>
      <c r="W5" s="3389"/>
      <c r="X5" s="1265"/>
      <c r="Y5" s="3415"/>
      <c r="Z5" s="3416"/>
      <c r="AA5" s="3401"/>
      <c r="AB5" s="3401"/>
      <c r="AC5" s="3401"/>
    </row>
    <row r="6" spans="1:29" ht="15.75" thickBot="1">
      <c r="A6" s="350"/>
      <c r="B6" s="351"/>
      <c r="C6" s="3450" t="s">
        <v>1919</v>
      </c>
      <c r="D6" s="3451"/>
      <c r="E6" s="3452" t="s">
        <v>1919</v>
      </c>
      <c r="F6" s="3453"/>
      <c r="G6" s="3450" t="s">
        <v>1919</v>
      </c>
      <c r="H6" s="3451"/>
      <c r="I6" s="3450" t="s">
        <v>1919</v>
      </c>
      <c r="J6" s="3451"/>
      <c r="K6" s="537" t="s">
        <v>1678</v>
      </c>
      <c r="L6" s="2485"/>
      <c r="M6" s="2486"/>
      <c r="N6" s="2486"/>
      <c r="O6" s="2486"/>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45247</v>
      </c>
      <c r="D7" s="355">
        <v>100</v>
      </c>
      <c r="E7" s="356"/>
      <c r="F7" s="357">
        <f>SUMIF(65:65,YEAR(E7)&amp;"-"&amp;INT((MONTH(E7)+2)/3),66:66)</f>
        <v>0</v>
      </c>
      <c r="G7" s="1822"/>
      <c r="H7" s="355">
        <f>SUMIF(65:65,YEAR(G7)&amp;"-"&amp;INT((MONTH(G7)+2)/3),66:66)</f>
        <v>0</v>
      </c>
      <c r="I7" s="1822"/>
      <c r="J7" s="355">
        <f>SUMIF(65:65,YEAR(I7)&amp;"-"&amp;INT((MONTH(I7)+2)/3),66:66)</f>
        <v>0</v>
      </c>
      <c r="K7" s="38"/>
      <c r="L7" s="2487"/>
      <c r="M7" s="2438"/>
      <c r="N7" s="2438"/>
      <c r="O7" s="2438"/>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423" t="s">
        <v>1683</v>
      </c>
      <c r="Q8" s="3424"/>
      <c r="R8" s="664" t="s">
        <v>14</v>
      </c>
      <c r="S8" s="665">
        <f t="shared" si="0"/>
        <v>0</v>
      </c>
      <c r="T8" s="664" t="s">
        <v>14</v>
      </c>
      <c r="U8" s="665">
        <f t="shared" si="1"/>
        <v>0</v>
      </c>
      <c r="V8" s="664" t="s">
        <v>14</v>
      </c>
      <c r="W8" s="665">
        <f t="shared" si="2"/>
        <v>0</v>
      </c>
      <c r="X8" s="666"/>
      <c r="Y8" s="3423" t="s">
        <v>1683</v>
      </c>
      <c r="Z8" s="3424"/>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8"/>
      <c r="N9" s="2438"/>
      <c r="O9" s="2538"/>
      <c r="P9" s="3388"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125</v>
      </c>
      <c r="G10" s="371"/>
      <c r="H10" s="119">
        <f>ROUND(100/'数据-取费表'!G16,0)</f>
        <v>125</v>
      </c>
      <c r="I10" s="371"/>
      <c r="J10" s="119">
        <f>ROUND(100/'数据-取费表'!G16,0)</f>
        <v>125</v>
      </c>
      <c r="K10" s="592"/>
      <c r="L10" s="2488"/>
      <c r="M10" s="2489"/>
      <c r="N10" s="2489"/>
      <c r="O10" s="2539"/>
      <c r="P10" s="3388"/>
      <c r="Q10" s="530" t="str">
        <f t="shared" si="6"/>
        <v>土地使用年限（年）</v>
      </c>
      <c r="R10" s="664" t="s">
        <v>14</v>
      </c>
      <c r="S10" s="665">
        <f t="shared" si="0"/>
        <v>125</v>
      </c>
      <c r="T10" s="664" t="s">
        <v>14</v>
      </c>
      <c r="U10" s="665">
        <f t="shared" si="1"/>
        <v>125</v>
      </c>
      <c r="V10" s="664" t="s">
        <v>14</v>
      </c>
      <c r="W10" s="665">
        <f t="shared" si="2"/>
        <v>125</v>
      </c>
      <c r="X10" s="666"/>
      <c r="Y10" s="3263"/>
      <c r="Z10" s="50" t="str">
        <f t="shared" si="7"/>
        <v>土地使用年限（年）</v>
      </c>
      <c r="AA10" s="50">
        <f t="shared" si="3"/>
        <v>0.8</v>
      </c>
      <c r="AB10" s="50">
        <f t="shared" si="4"/>
        <v>0.8</v>
      </c>
      <c r="AC10" s="50">
        <f t="shared" si="5"/>
        <v>0.8</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0"/>
      <c r="P11" s="3388"/>
      <c r="Q11" s="530" t="str">
        <f t="shared" si="6"/>
        <v>容积率</v>
      </c>
      <c r="R11" s="664" t="s">
        <v>14</v>
      </c>
      <c r="S11" s="665" t="e">
        <f t="shared" si="0"/>
        <v>#N/A</v>
      </c>
      <c r="T11" s="664" t="s">
        <v>14</v>
      </c>
      <c r="U11" s="665" t="e">
        <f t="shared" si="1"/>
        <v>#N/A</v>
      </c>
      <c r="V11" s="664" t="s">
        <v>14</v>
      </c>
      <c r="W11" s="665" t="e">
        <f t="shared" si="2"/>
        <v>#N/A</v>
      </c>
      <c r="X11" s="666"/>
      <c r="Y11" s="326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8"/>
      <c r="P12" s="3388"/>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0"/>
      <c r="P13" s="3388"/>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0"/>
      <c r="P14" s="3388"/>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0"/>
      <c r="P15" s="3390" t="s">
        <v>1691</v>
      </c>
      <c r="Q15" s="1263" t="str">
        <f t="shared" si="6"/>
        <v>产业集聚程度</v>
      </c>
      <c r="R15" s="667" t="s">
        <v>14</v>
      </c>
      <c r="S15" s="668">
        <f t="shared" si="0"/>
        <v>100</v>
      </c>
      <c r="T15" s="667" t="s">
        <v>14</v>
      </c>
      <c r="U15" s="668">
        <f t="shared" si="1"/>
        <v>100</v>
      </c>
      <c r="V15" s="667" t="s">
        <v>14</v>
      </c>
      <c r="W15" s="668">
        <f t="shared" si="2"/>
        <v>100</v>
      </c>
      <c r="X15" s="1265"/>
      <c r="Y15" s="3390"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0"/>
      <c r="P16" s="3391"/>
      <c r="Q16" s="1263"/>
      <c r="R16" s="667"/>
      <c r="S16" s="668"/>
      <c r="T16" s="667"/>
      <c r="U16" s="668"/>
      <c r="V16" s="667"/>
      <c r="W16" s="668"/>
      <c r="X16" s="1265"/>
      <c r="Y16" s="3391"/>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0"/>
      <c r="P17" s="3391"/>
      <c r="Q17" s="1263" t="str">
        <f>B17</f>
        <v>交通便捷度</v>
      </c>
      <c r="R17" s="667" t="s">
        <v>14</v>
      </c>
      <c r="S17" s="668">
        <f>F17</f>
        <v>100</v>
      </c>
      <c r="T17" s="667" t="s">
        <v>14</v>
      </c>
      <c r="U17" s="668">
        <f>H17</f>
        <v>100</v>
      </c>
      <c r="V17" s="667" t="s">
        <v>14</v>
      </c>
      <c r="W17" s="668">
        <f>J17</f>
        <v>100</v>
      </c>
      <c r="X17" s="1265"/>
      <c r="Y17" s="3391"/>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0"/>
      <c r="P18" s="3391"/>
      <c r="Q18" s="1263"/>
      <c r="R18" s="667"/>
      <c r="S18" s="668"/>
      <c r="T18" s="667"/>
      <c r="U18" s="668"/>
      <c r="V18" s="667"/>
      <c r="W18" s="668"/>
      <c r="X18" s="1265"/>
      <c r="Y18" s="3391"/>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0"/>
      <c r="P19" s="3391"/>
      <c r="Q19" s="1263" t="str">
        <f t="shared" ref="Q19:Q33" si="8">B19</f>
        <v>区域土地利用方向</v>
      </c>
      <c r="R19" s="667" t="s">
        <v>14</v>
      </c>
      <c r="S19" s="668">
        <f>F19</f>
        <v>100</v>
      </c>
      <c r="T19" s="667" t="s">
        <v>14</v>
      </c>
      <c r="U19" s="668">
        <f>H19</f>
        <v>100</v>
      </c>
      <c r="V19" s="667" t="s">
        <v>14</v>
      </c>
      <c r="W19" s="668">
        <f>J19</f>
        <v>100</v>
      </c>
      <c r="X19" s="1265"/>
      <c r="Y19" s="3391"/>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0"/>
      <c r="P20" s="3391"/>
      <c r="Q20" s="1263"/>
      <c r="R20" s="667"/>
      <c r="S20" s="668"/>
      <c r="T20" s="667"/>
      <c r="U20" s="668"/>
      <c r="V20" s="667"/>
      <c r="W20" s="668"/>
      <c r="X20" s="1265"/>
      <c r="Y20" s="3391"/>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0"/>
      <c r="P21" s="3391"/>
      <c r="Q21" s="1263" t="str">
        <f t="shared" si="8"/>
        <v>环境状况</v>
      </c>
      <c r="R21" s="667" t="s">
        <v>14</v>
      </c>
      <c r="S21" s="668">
        <f>F21</f>
        <v>100</v>
      </c>
      <c r="T21" s="667" t="s">
        <v>14</v>
      </c>
      <c r="U21" s="668">
        <f>H21</f>
        <v>100</v>
      </c>
      <c r="V21" s="667" t="s">
        <v>14</v>
      </c>
      <c r="W21" s="668">
        <f>J21</f>
        <v>100</v>
      </c>
      <c r="X21" s="1265"/>
      <c r="Y21" s="3391"/>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0"/>
      <c r="P22" s="3391"/>
      <c r="Q22" s="1263"/>
      <c r="R22" s="667"/>
      <c r="S22" s="668"/>
      <c r="T22" s="667"/>
      <c r="U22" s="668"/>
      <c r="V22" s="667"/>
      <c r="W22" s="668"/>
      <c r="X22" s="1265"/>
      <c r="Y22" s="3391"/>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8"/>
      <c r="P23" s="3391"/>
      <c r="Q23" s="530" t="str">
        <f t="shared" si="8"/>
        <v>公共配套设施</v>
      </c>
      <c r="R23" s="664" t="s">
        <v>14</v>
      </c>
      <c r="S23" s="665">
        <f>F23</f>
        <v>100</v>
      </c>
      <c r="T23" s="664" t="s">
        <v>14</v>
      </c>
      <c r="U23" s="665">
        <f>H23</f>
        <v>100</v>
      </c>
      <c r="V23" s="664" t="s">
        <v>14</v>
      </c>
      <c r="W23" s="665">
        <f>J23</f>
        <v>100</v>
      </c>
      <c r="X23" s="666"/>
      <c r="Y23" s="3391"/>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8"/>
      <c r="N24" s="2438"/>
      <c r="O24" s="2538"/>
      <c r="P24" s="3391"/>
      <c r="Q24" s="530"/>
      <c r="R24" s="664"/>
      <c r="S24" s="665"/>
      <c r="T24" s="664"/>
      <c r="U24" s="665"/>
      <c r="V24" s="664"/>
      <c r="W24" s="665"/>
      <c r="X24" s="666"/>
      <c r="Y24" s="3391"/>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8"/>
      <c r="P25" s="3391"/>
      <c r="Q25" s="530" t="str">
        <f t="shared" ref="Q25" si="9">B25</f>
        <v>基础设施水平</v>
      </c>
      <c r="R25" s="664" t="s">
        <v>14</v>
      </c>
      <c r="S25" s="665">
        <f>F25</f>
        <v>100</v>
      </c>
      <c r="T25" s="664" t="s">
        <v>14</v>
      </c>
      <c r="U25" s="665">
        <f>H25</f>
        <v>100</v>
      </c>
      <c r="V25" s="664" t="s">
        <v>14</v>
      </c>
      <c r="W25" s="665">
        <f>J25</f>
        <v>100</v>
      </c>
      <c r="X25" s="666"/>
      <c r="Y25" s="3391"/>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8"/>
      <c r="N26" s="2438"/>
      <c r="O26" s="2538"/>
      <c r="P26" s="3391"/>
      <c r="Q26" s="530"/>
      <c r="R26" s="664"/>
      <c r="S26" s="665"/>
      <c r="T26" s="664"/>
      <c r="U26" s="665"/>
      <c r="V26" s="664"/>
      <c r="W26" s="665"/>
      <c r="X26" s="666"/>
      <c r="Y26" s="3391"/>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0"/>
      <c r="P27" s="3391"/>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91"/>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0"/>
      <c r="P28" s="3391"/>
      <c r="Q28" s="1263" t="str">
        <f t="shared" si="8"/>
        <v>毗邻道路的类型与等级</v>
      </c>
      <c r="R28" s="667" t="s">
        <v>14</v>
      </c>
      <c r="S28" s="668">
        <f t="shared" si="10"/>
        <v>100</v>
      </c>
      <c r="T28" s="667" t="s">
        <v>14</v>
      </c>
      <c r="U28" s="668">
        <f t="shared" si="11"/>
        <v>100</v>
      </c>
      <c r="V28" s="667" t="s">
        <v>14</v>
      </c>
      <c r="W28" s="668">
        <f t="shared" si="12"/>
        <v>100</v>
      </c>
      <c r="X28" s="1265"/>
      <c r="Y28" s="3391"/>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0"/>
      <c r="P29" s="3391"/>
      <c r="Q29" s="1263"/>
      <c r="R29" s="667"/>
      <c r="S29" s="668"/>
      <c r="T29" s="667"/>
      <c r="U29" s="668"/>
      <c r="V29" s="667"/>
      <c r="W29" s="668"/>
      <c r="X29" s="1265"/>
      <c r="Y29" s="3391"/>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0"/>
      <c r="P30" s="3391"/>
      <c r="Q30" s="1263" t="str">
        <f t="shared" si="8"/>
        <v>土地级别</v>
      </c>
      <c r="R30" s="667" t="s">
        <v>14</v>
      </c>
      <c r="S30" s="668">
        <f t="shared" si="10"/>
        <v>100</v>
      </c>
      <c r="T30" s="667" t="s">
        <v>14</v>
      </c>
      <c r="U30" s="668">
        <f t="shared" si="11"/>
        <v>100</v>
      </c>
      <c r="V30" s="667" t="s">
        <v>14</v>
      </c>
      <c r="W30" s="668">
        <f t="shared" si="12"/>
        <v>100</v>
      </c>
      <c r="X30" s="1265"/>
      <c r="Y30" s="3391"/>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0"/>
      <c r="P31" s="3391"/>
      <c r="Q31" s="1263">
        <f t="shared" si="8"/>
        <v>111</v>
      </c>
      <c r="R31" s="667" t="s">
        <v>14</v>
      </c>
      <c r="S31" s="668">
        <f t="shared" si="10"/>
        <v>100</v>
      </c>
      <c r="T31" s="667" t="s">
        <v>14</v>
      </c>
      <c r="U31" s="668">
        <f t="shared" si="11"/>
        <v>100</v>
      </c>
      <c r="V31" s="667" t="s">
        <v>14</v>
      </c>
      <c r="W31" s="668">
        <f t="shared" si="12"/>
        <v>100</v>
      </c>
      <c r="X31" s="1265"/>
      <c r="Y31" s="3391"/>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0"/>
      <c r="P32" s="3445" t="s">
        <v>1696</v>
      </c>
      <c r="Q32" s="1263">
        <f t="shared" si="8"/>
        <v>111</v>
      </c>
      <c r="R32" s="667" t="s">
        <v>14</v>
      </c>
      <c r="S32" s="668">
        <f t="shared" si="10"/>
        <v>100</v>
      </c>
      <c r="T32" s="667" t="s">
        <v>14</v>
      </c>
      <c r="U32" s="668">
        <f t="shared" si="11"/>
        <v>100</v>
      </c>
      <c r="V32" s="667" t="s">
        <v>14</v>
      </c>
      <c r="W32" s="668">
        <f t="shared" si="12"/>
        <v>100</v>
      </c>
      <c r="X32" s="1265"/>
      <c r="Y32" s="3395"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1"/>
      <c r="P33" s="3395"/>
      <c r="Q33" s="1263">
        <f t="shared" si="8"/>
        <v>111</v>
      </c>
      <c r="R33" s="669" t="s">
        <v>14</v>
      </c>
      <c r="S33" s="670">
        <f t="shared" si="10"/>
        <v>100</v>
      </c>
      <c r="T33" s="669" t="s">
        <v>14</v>
      </c>
      <c r="U33" s="670">
        <f t="shared" si="11"/>
        <v>100</v>
      </c>
      <c r="V33" s="669" t="s">
        <v>14</v>
      </c>
      <c r="W33" s="670">
        <f t="shared" si="12"/>
        <v>100</v>
      </c>
      <c r="X33" s="671"/>
      <c r="Y33" s="3395"/>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0"/>
      <c r="P34" s="3395"/>
      <c r="Q34" s="1263" t="str">
        <f>B34</f>
        <v>宗地面积</v>
      </c>
      <c r="R34" s="667" t="s">
        <v>14</v>
      </c>
      <c r="S34" s="668" t="e">
        <f t="shared" si="10"/>
        <v>#N/A</v>
      </c>
      <c r="T34" s="667" t="s">
        <v>14</v>
      </c>
      <c r="U34" s="668" t="e">
        <f t="shared" si="11"/>
        <v>#N/A</v>
      </c>
      <c r="V34" s="667" t="s">
        <v>14</v>
      </c>
      <c r="W34" s="668" t="e">
        <f t="shared" si="12"/>
        <v>#N/A</v>
      </c>
      <c r="X34" s="1265"/>
      <c r="Y34" s="3395"/>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0"/>
      <c r="P35" s="3395"/>
      <c r="Q35" s="1263" t="str">
        <f t="shared" ref="Q35:Q40" si="14">B35</f>
        <v>宗地形状</v>
      </c>
      <c r="R35" s="667" t="s">
        <v>14</v>
      </c>
      <c r="S35" s="668">
        <f t="shared" si="10"/>
        <v>100</v>
      </c>
      <c r="T35" s="667" t="s">
        <v>14</v>
      </c>
      <c r="U35" s="668">
        <f t="shared" si="11"/>
        <v>100</v>
      </c>
      <c r="V35" s="667" t="s">
        <v>14</v>
      </c>
      <c r="W35" s="668">
        <f t="shared" si="12"/>
        <v>100</v>
      </c>
      <c r="X35" s="1265"/>
      <c r="Y35" s="3395"/>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8"/>
      <c r="N36" s="2438"/>
      <c r="O36" s="2538"/>
      <c r="P36" s="3395"/>
      <c r="Q36" s="1263" t="str">
        <f t="shared" si="14"/>
        <v>宗地开发程度</v>
      </c>
      <c r="R36" s="664" t="s">
        <v>14</v>
      </c>
      <c r="S36" s="665">
        <f t="shared" si="10"/>
        <v>100</v>
      </c>
      <c r="T36" s="664" t="s">
        <v>14</v>
      </c>
      <c r="U36" s="665">
        <f t="shared" si="11"/>
        <v>100</v>
      </c>
      <c r="V36" s="664" t="s">
        <v>14</v>
      </c>
      <c r="W36" s="665">
        <f t="shared" si="12"/>
        <v>100</v>
      </c>
      <c r="X36" s="666"/>
      <c r="Y36" s="3395"/>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0"/>
      <c r="P37" s="3395" t="s">
        <v>1696</v>
      </c>
      <c r="Q37" s="1263" t="str">
        <f t="shared" si="14"/>
        <v>工程地质条件</v>
      </c>
      <c r="R37" s="667" t="s">
        <v>14</v>
      </c>
      <c r="S37" s="668">
        <f t="shared" si="10"/>
        <v>100</v>
      </c>
      <c r="T37" s="667" t="s">
        <v>14</v>
      </c>
      <c r="U37" s="668">
        <f t="shared" si="11"/>
        <v>100</v>
      </c>
      <c r="V37" s="667" t="s">
        <v>14</v>
      </c>
      <c r="W37" s="668">
        <f t="shared" si="12"/>
        <v>100</v>
      </c>
      <c r="X37" s="1265"/>
      <c r="Y37" s="3395"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0"/>
      <c r="P38" s="3395"/>
      <c r="Q38" s="1263">
        <f t="shared" si="14"/>
        <v>111</v>
      </c>
      <c r="R38" s="667" t="s">
        <v>14</v>
      </c>
      <c r="S38" s="668">
        <f t="shared" si="10"/>
        <v>100</v>
      </c>
      <c r="T38" s="667" t="s">
        <v>14</v>
      </c>
      <c r="U38" s="668">
        <f t="shared" si="11"/>
        <v>100</v>
      </c>
      <c r="V38" s="667" t="s">
        <v>14</v>
      </c>
      <c r="W38" s="668">
        <f t="shared" si="12"/>
        <v>100</v>
      </c>
      <c r="X38" s="1265"/>
      <c r="Y38" s="3395"/>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0"/>
      <c r="P39" s="3395"/>
      <c r="Q39" s="1263">
        <f t="shared" si="14"/>
        <v>111</v>
      </c>
      <c r="R39" s="667" t="s">
        <v>14</v>
      </c>
      <c r="S39" s="668">
        <f t="shared" si="10"/>
        <v>100</v>
      </c>
      <c r="T39" s="667" t="s">
        <v>14</v>
      </c>
      <c r="U39" s="668">
        <f t="shared" si="11"/>
        <v>100</v>
      </c>
      <c r="V39" s="667" t="s">
        <v>14</v>
      </c>
      <c r="W39" s="668">
        <f t="shared" si="12"/>
        <v>100</v>
      </c>
      <c r="X39" s="1265"/>
      <c r="Y39" s="3395"/>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1"/>
      <c r="P40" s="3395"/>
      <c r="Q40" s="1263">
        <f t="shared" si="14"/>
        <v>111</v>
      </c>
      <c r="R40" s="669" t="s">
        <v>14</v>
      </c>
      <c r="S40" s="670">
        <f t="shared" si="10"/>
        <v>100</v>
      </c>
      <c r="T40" s="669" t="s">
        <v>14</v>
      </c>
      <c r="U40" s="670">
        <f t="shared" si="11"/>
        <v>100</v>
      </c>
      <c r="V40" s="669" t="s">
        <v>14</v>
      </c>
      <c r="W40" s="670">
        <f t="shared" si="12"/>
        <v>100</v>
      </c>
      <c r="X40" s="671"/>
      <c r="Y40" s="3395"/>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3"/>
      <c r="M41" s="2486"/>
      <c r="N41" s="2486"/>
      <c r="O41" s="2486"/>
      <c r="P41" s="3388" t="str">
        <f>A41</f>
        <v>成交单价</v>
      </c>
      <c r="Q41" s="3388"/>
      <c r="R41" s="3389">
        <f>E41</f>
        <v>0</v>
      </c>
      <c r="S41" s="3389"/>
      <c r="T41" s="3389">
        <f>G41</f>
        <v>0</v>
      </c>
      <c r="U41" s="3389"/>
      <c r="V41" s="3389">
        <f>I41</f>
        <v>0</v>
      </c>
      <c r="W41" s="3389"/>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3"/>
      <c r="M42" s="2486"/>
      <c r="N42" s="2486"/>
      <c r="O42" s="2486"/>
      <c r="P42" s="3388" t="str">
        <f>A42</f>
        <v>比较价值（元/平方米）</v>
      </c>
      <c r="Q42" s="3388"/>
      <c r="R42" s="3447" t="e">
        <f>ROUND(PRODUCT(R41,AA7:AA40),0)</f>
        <v>#DIV/0!</v>
      </c>
      <c r="S42" s="3447"/>
      <c r="T42" s="3447" t="e">
        <f>ROUND(PRODUCT(T41,AB7:AB40),0)</f>
        <v>#DIV/0!</v>
      </c>
      <c r="U42" s="3447"/>
      <c r="V42" s="3447" t="e">
        <f>ROUND(PRODUCT(V41,AC7:AC40),0)</f>
        <v>#DIV/0!</v>
      </c>
      <c r="W42" s="3447"/>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385" t="str">
        <f>A43</f>
        <v>估价对象XX用房的比较价值（楼面单价，元/平方米）</v>
      </c>
      <c r="Q43" s="3386"/>
      <c r="R43" s="3448" t="e">
        <f>ROUND(IF(D42="简单平均",AVERAGE(R42:W42),R42*F42+T42*H42+V42*J42),0)</f>
        <v>#DIV/0!</v>
      </c>
      <c r="S43" s="3448"/>
      <c r="T43" s="3448"/>
      <c r="U43" s="3448"/>
      <c r="V43" s="3448"/>
      <c r="W43" s="3448"/>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31" t="s">
        <v>1883</v>
      </c>
      <c r="D50" s="1832" t="s">
        <v>1884</v>
      </c>
      <c r="E50" s="606" t="s">
        <v>1885</v>
      </c>
      <c r="F50" s="607" t="s">
        <v>1886</v>
      </c>
      <c r="G50" s="3403" t="s">
        <v>1887</v>
      </c>
      <c r="H50" s="3449"/>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69.63</v>
      </c>
      <c r="F51" s="611" t="e">
        <f t="shared" ref="F51:F60" si="15">ROUND(B51*E51/10000,0)</f>
        <v>#DIV/0!</v>
      </c>
      <c r="G51" s="3399"/>
      <c r="H51" s="3388"/>
      <c r="I51" s="727">
        <v>1</v>
      </c>
      <c r="J51" s="727">
        <v>1</v>
      </c>
      <c r="K51" s="2496"/>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0.6</v>
      </c>
      <c r="D52" s="891">
        <v>0.25</v>
      </c>
      <c r="E52" s="614"/>
      <c r="F52" s="611" t="e">
        <f t="shared" si="15"/>
        <v>#DIV/0!</v>
      </c>
      <c r="G52" s="2748" t="s">
        <v>1892</v>
      </c>
      <c r="H52" s="834" t="str">
        <f>项目基本情况!B37</f>
        <v>四级</v>
      </c>
      <c r="I52" s="727">
        <f>SUMIF(修正!A57:A68,H52,修正!B57:B68)</f>
        <v>0.6</v>
      </c>
      <c r="J52" s="728"/>
      <c r="K52" s="2486"/>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0.3</v>
      </c>
      <c r="D53" s="891">
        <v>0.25</v>
      </c>
      <c r="E53" s="614"/>
      <c r="F53" s="611" t="e">
        <f t="shared" si="15"/>
        <v>#DIV/0!</v>
      </c>
      <c r="G53" s="2749"/>
      <c r="H53" s="834" t="str">
        <f>项目基本情况!B37</f>
        <v>四级</v>
      </c>
      <c r="I53" s="727">
        <f>SUMIF(修正!A57:A68,H53,修正!C57:C68)</f>
        <v>0.3</v>
      </c>
      <c r="J53" s="728"/>
      <c r="K53" s="2496"/>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0.25</v>
      </c>
      <c r="D54" s="891">
        <v>0.25</v>
      </c>
      <c r="E54" s="614"/>
      <c r="F54" s="611" t="e">
        <f t="shared" si="15"/>
        <v>#DIV/0!</v>
      </c>
      <c r="G54" s="2749"/>
      <c r="H54" s="834" t="str">
        <f>项目基本情况!B37</f>
        <v>四级</v>
      </c>
      <c r="I54" s="727">
        <f>SUMIF(修正!A57:A68,H54,修正!D57:D68)</f>
        <v>0.25</v>
      </c>
      <c r="J54" s="728"/>
      <c r="K54" s="2486"/>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1"/>
      <c r="E55" s="614"/>
      <c r="F55" s="611"/>
      <c r="G55" s="2750"/>
      <c r="H55" s="834"/>
      <c r="I55" s="727"/>
      <c r="J55" s="728"/>
      <c r="K55" s="2496"/>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6"/>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0.15</v>
      </c>
      <c r="D59" s="891">
        <v>0.25</v>
      </c>
      <c r="E59" s="209">
        <f>'数据-汇总表'!E14</f>
        <v>0</v>
      </c>
      <c r="F59" s="611" t="e">
        <f t="shared" si="15"/>
        <v>#DIV/0!</v>
      </c>
      <c r="G59" s="1835" t="s">
        <v>1892</v>
      </c>
      <c r="H59" s="834" t="str">
        <f>项目基本情况!B37</f>
        <v>四级</v>
      </c>
      <c r="I59" s="727">
        <f>SUMIF(修正!A57:A68,H59,修正!G57:G68)</f>
        <v>0.15</v>
      </c>
      <c r="J59" s="728"/>
      <c r="K59" s="2496"/>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6"/>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2023-11-1</v>
      </c>
      <c r="D63" s="656">
        <f>EDATE(C63,-3)</f>
        <v>45139</v>
      </c>
      <c r="E63" s="656">
        <f>EDATE(D63,-3)</f>
        <v>45047</v>
      </c>
      <c r="F63" s="656">
        <f t="shared" ref="F63:O63" si="18">EDATE(E63,-3)</f>
        <v>44958</v>
      </c>
      <c r="G63" s="656">
        <f t="shared" si="18"/>
        <v>44866</v>
      </c>
      <c r="H63" s="656">
        <f t="shared" si="18"/>
        <v>44774</v>
      </c>
      <c r="I63" s="656">
        <f t="shared" si="18"/>
        <v>44682</v>
      </c>
      <c r="J63" s="656">
        <f t="shared" si="18"/>
        <v>44593</v>
      </c>
      <c r="K63" s="656">
        <f t="shared" si="18"/>
        <v>44501</v>
      </c>
      <c r="L63" s="656">
        <f t="shared" si="18"/>
        <v>44409</v>
      </c>
      <c r="M63" s="656">
        <f t="shared" si="18"/>
        <v>44317</v>
      </c>
      <c r="N63" s="656">
        <f t="shared" si="18"/>
        <v>44228</v>
      </c>
      <c r="O63" s="656">
        <f t="shared" si="18"/>
        <v>44136</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6"/>
      <c r="P64" s="2535"/>
      <c r="Q64" s="2507"/>
      <c r="R64" s="2486"/>
      <c r="S64" s="2486"/>
      <c r="T64" s="2486"/>
      <c r="U64" s="2486"/>
      <c r="V64" s="2486"/>
      <c r="W64" s="2486"/>
      <c r="X64" s="2486"/>
      <c r="Y64" s="2486"/>
      <c r="Z64" s="2486"/>
      <c r="AA64" s="2486"/>
      <c r="AB64" s="2486"/>
      <c r="AC64" s="2486"/>
      <c r="AD64" s="2486"/>
      <c r="AE64" s="2486"/>
    </row>
    <row r="65" spans="1:31" s="442" customFormat="1" ht="15">
      <c r="A65" s="1630" t="s">
        <v>1904</v>
      </c>
      <c r="B65" s="1046"/>
      <c r="C65" s="1101" t="str">
        <f>YEAR(C63)&amp;"-"&amp;ROUNDUP(MONTH(C63)/3,0)</f>
        <v>2023-4</v>
      </c>
      <c r="D65" s="1101" t="str">
        <f t="shared" ref="D65:O65" si="19">YEAR(D63)&amp;"-"&amp;ROUNDUP(MONTH(D63)/3,0)</f>
        <v>2023-3</v>
      </c>
      <c r="E65" s="1101" t="str">
        <f t="shared" si="19"/>
        <v>2023-2</v>
      </c>
      <c r="F65" s="1101" t="str">
        <f t="shared" si="19"/>
        <v>2023-1</v>
      </c>
      <c r="G65" s="1101" t="str">
        <f t="shared" si="19"/>
        <v>2022-4</v>
      </c>
      <c r="H65" s="1101" t="str">
        <f t="shared" si="19"/>
        <v>2022-3</v>
      </c>
      <c r="I65" s="1101" t="str">
        <f t="shared" si="19"/>
        <v>2022-2</v>
      </c>
      <c r="J65" s="1101" t="str">
        <f t="shared" si="19"/>
        <v>2022-1</v>
      </c>
      <c r="K65" s="1101" t="str">
        <f t="shared" si="19"/>
        <v>2021-4</v>
      </c>
      <c r="L65" s="1101" t="str">
        <f t="shared" si="19"/>
        <v>2021-3</v>
      </c>
      <c r="M65" s="1101" t="str">
        <f t="shared" si="19"/>
        <v>2021-2</v>
      </c>
      <c r="N65" s="1101" t="str">
        <f t="shared" si="19"/>
        <v>2021-1</v>
      </c>
      <c r="O65" s="1101" t="str">
        <f t="shared" si="19"/>
        <v>2020-4</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8"/>
      <c r="O68" s="2518"/>
      <c r="P68" s="2542"/>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8"/>
      <c r="O69" s="2518"/>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19"/>
      <c r="O70" s="2519"/>
      <c r="P70" s="2518"/>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0"/>
      <c r="O71" s="2520"/>
      <c r="P71" s="2518"/>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19"/>
      <c r="O72" s="2519"/>
      <c r="P72" s="2518"/>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0"/>
      <c r="O73" s="2520"/>
      <c r="P73" s="2518"/>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19"/>
      <c r="O75" s="2519"/>
      <c r="P75" s="2518"/>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1"/>
      <c r="O77" s="2521"/>
      <c r="P77" s="2521"/>
      <c r="Q77" s="2513"/>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0"/>
      <c r="O78" s="2520"/>
      <c r="P78" s="2521"/>
      <c r="Q78" s="2513"/>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1"/>
      <c r="O79" s="2521"/>
      <c r="P79" s="2492"/>
      <c r="Q79" s="2515"/>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1"/>
      <c r="O80" s="2521"/>
      <c r="P80" s="2521"/>
      <c r="Q80" s="2513"/>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1"/>
      <c r="O81" s="2521"/>
      <c r="P81" s="2546"/>
      <c r="Q81" s="2513"/>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1"/>
      <c r="O82" s="2521"/>
      <c r="P82" s="2521"/>
      <c r="Q82" s="2513"/>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1"/>
      <c r="O94" s="2521"/>
      <c r="P94" s="2521"/>
      <c r="Q94" s="2513"/>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19"/>
      <c r="O97" s="2519"/>
      <c r="P97" s="2518"/>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19"/>
      <c r="O99" s="2519"/>
      <c r="P99" s="2518"/>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19"/>
      <c r="O101" s="2519"/>
      <c r="P101" s="2518"/>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0"/>
      <c r="O102" s="2520"/>
      <c r="P102" s="2518"/>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19"/>
      <c r="O103" s="2519"/>
      <c r="P103" s="2518"/>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0"/>
      <c r="O104" s="2520"/>
      <c r="P104" s="2518"/>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1"/>
      <c r="O105" s="2521"/>
      <c r="P105" s="2521"/>
      <c r="Q105" s="2513"/>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0"/>
      <c r="O106" s="2520"/>
      <c r="P106" s="2521"/>
      <c r="Q106" s="2513"/>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9"/>
      <c r="O107" s="2519"/>
      <c r="P107" s="2518"/>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19"/>
      <c r="O108" s="2519"/>
      <c r="P108" s="2518"/>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0"/>
      <c r="O109" s="2520"/>
      <c r="P109" s="2518"/>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19"/>
      <c r="O110" s="2519"/>
      <c r="P110" s="2518"/>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19"/>
      <c r="O114" s="2519"/>
      <c r="P114" s="2518"/>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19"/>
      <c r="O116" s="2519"/>
      <c r="P116" s="2518"/>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0"/>
      <c r="O117" s="2520"/>
      <c r="P117" s="2518"/>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19"/>
      <c r="O118" s="2519"/>
      <c r="P118" s="2518"/>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0"/>
      <c r="O119" s="2520"/>
      <c r="P119" s="2518"/>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1"/>
      <c r="O120" s="2521"/>
      <c r="P120" s="2521"/>
      <c r="Q120" s="2513"/>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1"/>
      <c r="O121" s="2521"/>
      <c r="P121" s="2521"/>
      <c r="Q121" s="2513"/>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35" priority="13" stopIfTrue="1">
      <formula>$F$46="超过30%"</formula>
    </cfRule>
  </conditionalFormatting>
  <conditionalFormatting sqref="E47">
    <cfRule type="expression" dxfId="34" priority="53" stopIfTrue="1">
      <formula>#REF!+$F$47="超过20%"</formula>
    </cfRule>
  </conditionalFormatting>
  <conditionalFormatting sqref="E48">
    <cfRule type="expression" dxfId="33" priority="10" stopIfTrue="1">
      <formula>$F$48="超过30%"</formula>
    </cfRule>
  </conditionalFormatting>
  <conditionalFormatting sqref="F7:F40 H7:H40 J7:J40">
    <cfRule type="cellIs" dxfId="32" priority="1" operator="notEqual">
      <formula>100</formula>
    </cfRule>
  </conditionalFormatting>
  <conditionalFormatting sqref="F42">
    <cfRule type="expression" dxfId="31" priority="4">
      <formula>$D$42="简单平均"</formula>
    </cfRule>
  </conditionalFormatting>
  <conditionalFormatting sqref="F46:F48 H46:H48 J46:J48">
    <cfRule type="containsText" dxfId="30" priority="14" stopIfTrue="1" operator="containsText" text="超过">
      <formula>NOT(ISERROR(SEARCH("超过",F46)))</formula>
    </cfRule>
  </conditionalFormatting>
  <conditionalFormatting sqref="G46">
    <cfRule type="expression" dxfId="29" priority="9" stopIfTrue="1">
      <formula>$H$46="超过30%"</formula>
    </cfRule>
  </conditionalFormatting>
  <conditionalFormatting sqref="G47">
    <cfRule type="expression" dxfId="28" priority="8" stopIfTrue="1">
      <formula>$H$47="超过20%"</formula>
    </cfRule>
  </conditionalFormatting>
  <conditionalFormatting sqref="G48">
    <cfRule type="expression" dxfId="27" priority="12" stopIfTrue="1">
      <formula>$H$48="超过30%"</formula>
    </cfRule>
  </conditionalFormatting>
  <conditionalFormatting sqref="H42">
    <cfRule type="expression" dxfId="26" priority="3">
      <formula>$D$42="简单平均"</formula>
    </cfRule>
  </conditionalFormatting>
  <conditionalFormatting sqref="I46">
    <cfRule type="expression" dxfId="25" priority="7" stopIfTrue="1">
      <formula>$J$46="超过30%"</formula>
    </cfRule>
  </conditionalFormatting>
  <conditionalFormatting sqref="I47">
    <cfRule type="expression" dxfId="24" priority="6" stopIfTrue="1">
      <formula>$J$47="超过20%"</formula>
    </cfRule>
  </conditionalFormatting>
  <conditionalFormatting sqref="I48">
    <cfRule type="expression" dxfId="23" priority="5" stopIfTrue="1">
      <formula>$J$48="超过30%"</formula>
    </cfRule>
  </conditionalFormatting>
  <conditionalFormatting sqref="J42">
    <cfRule type="expression" dxfId="22"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7" t="s">
        <v>2084</v>
      </c>
      <c r="D1" s="3458"/>
      <c r="E1" s="3458"/>
      <c r="F1" s="3458"/>
      <c r="G1" s="3458"/>
      <c r="H1" s="3458"/>
      <c r="I1" s="3458"/>
      <c r="J1" s="3458"/>
      <c r="K1" s="3458"/>
      <c r="L1" s="3458"/>
      <c r="M1" s="3458"/>
      <c r="N1" s="3458"/>
      <c r="O1" s="3458"/>
      <c r="P1" s="3458"/>
      <c r="Q1" s="3458"/>
      <c r="R1" s="3458"/>
      <c r="S1" s="3459"/>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4"/>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4" t="s">
        <v>27</v>
      </c>
      <c r="D22" s="3455"/>
      <c r="E22" s="3455"/>
      <c r="F22" s="3455"/>
      <c r="G22" s="3455"/>
      <c r="H22" s="3455"/>
      <c r="I22" s="3455"/>
      <c r="J22" s="3455"/>
      <c r="K22" s="3455"/>
      <c r="L22" s="3455"/>
      <c r="M22" s="3455"/>
      <c r="N22" s="3455"/>
      <c r="O22" s="3455"/>
      <c r="P22" s="3455"/>
      <c r="Q22" s="345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8">
        <v>1</v>
      </c>
      <c r="D24" s="2569"/>
      <c r="E24" s="2568">
        <v>1</v>
      </c>
      <c r="F24" s="2569"/>
      <c r="G24" s="2568">
        <v>1</v>
      </c>
      <c r="H24" s="2569"/>
      <c r="I24" s="2568">
        <v>1</v>
      </c>
      <c r="J24" s="2569"/>
      <c r="K24" s="2568">
        <v>1</v>
      </c>
      <c r="L24" s="2569"/>
      <c r="M24" s="2568">
        <v>1</v>
      </c>
      <c r="N24" s="2569"/>
      <c r="O24" s="2568">
        <v>1</v>
      </c>
      <c r="P24" s="2569"/>
      <c r="Q24" s="2568">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2"/>
      <c r="G1" s="2542"/>
      <c r="H1" s="2542"/>
      <c r="I1" s="2542"/>
      <c r="J1" s="2542"/>
      <c r="K1" s="2542"/>
      <c r="L1" s="2542"/>
      <c r="M1" s="2542"/>
      <c r="N1" s="2542"/>
      <c r="O1" s="2542"/>
      <c r="P1" s="2542"/>
    </row>
    <row r="2" spans="1:16" ht="15.75">
      <c r="A2" s="1983" t="s">
        <v>2073</v>
      </c>
      <c r="B2" s="2387">
        <f ca="1">SUMIF(B6:B13,"&lt;&gt;#ref!",B6:B13)</f>
        <v>0</v>
      </c>
      <c r="C2" s="1983" t="s">
        <v>2074</v>
      </c>
      <c r="D2" s="1983" t="s">
        <v>2075</v>
      </c>
      <c r="E2" s="2397">
        <f ca="1">SUMIF(E6:E13,"&lt;&gt;#ref!",E6:E13)</f>
        <v>69.63</v>
      </c>
      <c r="F2" s="2542"/>
      <c r="G2" s="2542"/>
      <c r="H2" s="2542"/>
      <c r="I2" s="2542"/>
      <c r="J2" s="2542"/>
      <c r="K2" s="2542"/>
      <c r="L2" s="2542"/>
      <c r="M2" s="2542"/>
      <c r="N2" s="2542"/>
      <c r="O2" s="2542"/>
      <c r="P2" s="2542"/>
    </row>
    <row r="3" spans="1:16" ht="15.75">
      <c r="A3" s="1983" t="s">
        <v>2076</v>
      </c>
      <c r="B3" s="2387">
        <f ca="1">ROUND(B2*10000/E2,0)</f>
        <v>0</v>
      </c>
      <c r="C3" s="1983" t="s">
        <v>2082</v>
      </c>
      <c r="D3" s="2542"/>
      <c r="E3" s="2542"/>
      <c r="F3" s="2542"/>
      <c r="G3" s="2542"/>
      <c r="H3" s="2542"/>
      <c r="I3" s="2542"/>
      <c r="J3" s="2542"/>
      <c r="K3" s="2542"/>
      <c r="L3" s="2542"/>
      <c r="M3" s="2542"/>
      <c r="N3" s="2542"/>
      <c r="O3" s="2542"/>
      <c r="P3" s="2542"/>
    </row>
    <row r="4" spans="1:16" ht="15.75">
      <c r="A4" s="2554"/>
      <c r="B4" s="2542"/>
      <c r="C4" s="2542"/>
      <c r="D4" s="2542"/>
      <c r="E4" s="2542"/>
      <c r="F4" s="2542"/>
      <c r="G4" s="2542"/>
      <c r="H4" s="2542"/>
      <c r="I4" s="2542"/>
      <c r="J4" s="2542"/>
      <c r="K4" s="2542"/>
      <c r="L4" s="2542"/>
      <c r="M4" s="2542"/>
      <c r="N4" s="2542"/>
      <c r="O4" s="2542"/>
      <c r="P4" s="2542"/>
    </row>
    <row r="5" spans="1:16" ht="28.5">
      <c r="A5" s="2393" t="s">
        <v>2077</v>
      </c>
      <c r="B5" s="2395" t="s">
        <v>2078</v>
      </c>
      <c r="C5" s="1984"/>
      <c r="D5" s="2542"/>
      <c r="E5" s="2396" t="s">
        <v>2079</v>
      </c>
      <c r="F5" s="2542"/>
      <c r="G5" s="2542"/>
      <c r="H5" s="2542"/>
      <c r="I5" s="2542"/>
      <c r="J5" s="2542"/>
      <c r="K5" s="2542"/>
      <c r="L5" s="2542"/>
      <c r="M5" s="2542"/>
      <c r="N5" s="2542"/>
      <c r="O5" s="2542"/>
      <c r="P5" s="2542"/>
    </row>
    <row r="6" spans="1:16" ht="15.75">
      <c r="A6" s="2394" t="s">
        <v>2080</v>
      </c>
      <c r="B6" s="2387">
        <f ca="1">SUMIF(INDIRECT("'"&amp;A6&amp;"'"&amp;"!A:A"),"总价",INDIRECT("'"&amp;A6&amp;"'"&amp;"!B:B"))</f>
        <v>0</v>
      </c>
      <c r="C6" s="1983" t="s">
        <v>2074</v>
      </c>
      <c r="D6" s="2542"/>
      <c r="E6" s="2397">
        <f ca="1">SUMIF(INDIRECT("'"&amp;A6&amp;"'"&amp;"!C:C"),"建筑面积",INDIRECT("'"&amp;A6&amp;"'"&amp;"!D:D"))</f>
        <v>69.63</v>
      </c>
      <c r="F6" s="2542"/>
      <c r="G6" s="2542"/>
      <c r="H6" s="2542"/>
      <c r="I6" s="2542"/>
      <c r="J6" s="2542"/>
      <c r="K6" s="2542"/>
      <c r="L6" s="2542"/>
      <c r="M6" s="2542"/>
      <c r="N6" s="2542"/>
      <c r="O6" s="2542"/>
      <c r="P6" s="2542"/>
    </row>
    <row r="7" spans="1:16" ht="15.75">
      <c r="A7" s="2394"/>
      <c r="B7" s="2387" t="e">
        <f ca="1">SUMIF(INDIRECT("'"&amp;A7&amp;"'"&amp;"!A:A"),"总价",INDIRECT("'"&amp;A7&amp;"'"&amp;"!B:B"))</f>
        <v>#REF!</v>
      </c>
      <c r="C7" s="1983" t="s">
        <v>2074</v>
      </c>
      <c r="D7" s="2542"/>
      <c r="E7" s="2397" t="e">
        <f t="shared" ref="E7:E13" ca="1" si="0">SUMIF(INDIRECT("'"&amp;A7&amp;"'"&amp;"!C:C"),"建筑面积",INDIRECT("'"&amp;A7&amp;"'"&amp;"!D:D"))</f>
        <v>#REF!</v>
      </c>
      <c r="F7" s="2542"/>
      <c r="G7" s="2542"/>
      <c r="H7" s="2542"/>
      <c r="I7" s="2542"/>
      <c r="J7" s="2542"/>
      <c r="K7" s="2542"/>
      <c r="L7" s="2542"/>
      <c r="M7" s="2542"/>
      <c r="N7" s="2542"/>
      <c r="O7" s="2542"/>
      <c r="P7" s="2542"/>
    </row>
    <row r="8" spans="1:16" ht="15.75">
      <c r="A8" s="2394"/>
      <c r="B8" s="2387" t="e">
        <f t="shared" ref="B8:B13" ca="1" si="1">SUMIF(INDIRECT("'"&amp;A8&amp;"'"&amp;"!A:A"),"总价",INDIRECT("'"&amp;A8&amp;"'"&amp;"!B:B"))</f>
        <v>#REF!</v>
      </c>
      <c r="C8" s="1983" t="s">
        <v>2074</v>
      </c>
      <c r="D8" s="2542"/>
      <c r="E8" s="2397" t="e">
        <f t="shared" ca="1" si="0"/>
        <v>#REF!</v>
      </c>
      <c r="F8" s="2542"/>
      <c r="G8" s="2542"/>
      <c r="H8" s="2542"/>
      <c r="I8" s="2542"/>
      <c r="J8" s="2542"/>
      <c r="K8" s="2542"/>
      <c r="L8" s="2542"/>
      <c r="M8" s="2542"/>
      <c r="N8" s="2542"/>
      <c r="O8" s="2542"/>
      <c r="P8" s="2542"/>
    </row>
    <row r="9" spans="1:16" ht="15.75">
      <c r="A9" s="2394"/>
      <c r="B9" s="2387" t="e">
        <f t="shared" ca="1" si="1"/>
        <v>#REF!</v>
      </c>
      <c r="C9" s="1983" t="s">
        <v>2074</v>
      </c>
      <c r="D9" s="2542"/>
      <c r="E9" s="2397" t="e">
        <f t="shared" ca="1" si="0"/>
        <v>#REF!</v>
      </c>
      <c r="F9" s="2542"/>
      <c r="G9" s="2542"/>
      <c r="H9" s="2542"/>
      <c r="I9" s="2542"/>
      <c r="J9" s="2542"/>
      <c r="K9" s="2542"/>
      <c r="L9" s="2542"/>
      <c r="M9" s="2542"/>
      <c r="N9" s="2542"/>
      <c r="O9" s="2542"/>
      <c r="P9" s="2542"/>
    </row>
    <row r="10" spans="1:16" ht="15.75">
      <c r="A10" s="2394"/>
      <c r="B10" s="2387" t="e">
        <f t="shared" ca="1" si="1"/>
        <v>#REF!</v>
      </c>
      <c r="C10" s="1983" t="s">
        <v>2074</v>
      </c>
      <c r="D10" s="2542"/>
      <c r="E10" s="2397" t="e">
        <f t="shared" ca="1" si="0"/>
        <v>#REF!</v>
      </c>
      <c r="F10" s="2542"/>
      <c r="G10" s="2542"/>
      <c r="H10" s="2542"/>
      <c r="I10" s="2542"/>
      <c r="J10" s="2542"/>
      <c r="K10" s="2542"/>
      <c r="L10" s="2542"/>
      <c r="M10" s="2542"/>
      <c r="N10" s="2542"/>
      <c r="O10" s="2542"/>
      <c r="P10" s="2542"/>
    </row>
    <row r="11" spans="1:16" ht="15.75">
      <c r="A11" s="2394"/>
      <c r="B11" s="2387" t="e">
        <f t="shared" ca="1" si="1"/>
        <v>#REF!</v>
      </c>
      <c r="C11" s="1983" t="s">
        <v>2074</v>
      </c>
      <c r="D11" s="2542"/>
      <c r="E11" s="2397" t="e">
        <f t="shared" ca="1" si="0"/>
        <v>#REF!</v>
      </c>
      <c r="F11" s="2542"/>
      <c r="G11" s="2542"/>
      <c r="H11" s="2542"/>
      <c r="I11" s="2542"/>
      <c r="J11" s="2542"/>
      <c r="K11" s="2542"/>
      <c r="L11" s="2542"/>
      <c r="M11" s="2542"/>
      <c r="N11" s="2542"/>
      <c r="O11" s="2542"/>
      <c r="P11" s="2542"/>
    </row>
    <row r="12" spans="1:16" ht="15.75">
      <c r="A12" s="2394"/>
      <c r="B12" s="2387" t="e">
        <f t="shared" ca="1" si="1"/>
        <v>#REF!</v>
      </c>
      <c r="C12" s="1983" t="s">
        <v>2074</v>
      </c>
      <c r="D12" s="2542"/>
      <c r="E12" s="2397" t="e">
        <f t="shared" ca="1" si="0"/>
        <v>#REF!</v>
      </c>
      <c r="F12" s="2542"/>
      <c r="G12" s="2542"/>
      <c r="H12" s="2542"/>
      <c r="I12" s="2542"/>
      <c r="J12" s="2542"/>
      <c r="K12" s="2542"/>
      <c r="L12" s="2542"/>
      <c r="M12" s="2542"/>
      <c r="N12" s="2542"/>
      <c r="O12" s="2542"/>
      <c r="P12" s="2542"/>
    </row>
    <row r="13" spans="1:16" ht="15.75">
      <c r="A13" s="2394"/>
      <c r="B13" s="2387" t="e">
        <f t="shared" ca="1" si="1"/>
        <v>#REF!</v>
      </c>
      <c r="C13" s="1983" t="s">
        <v>2074</v>
      </c>
      <c r="D13" s="2542"/>
      <c r="E13" s="2397"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activeCell="I32" sqref="I32"/>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0">
        <f ca="1">ROUND(IF(D2="——",C52/10000,C52/10000-E2),4)</f>
        <v>162.23269999999999</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23299</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963371</v>
      </c>
      <c r="D5" s="203" t="s">
        <v>1469</v>
      </c>
      <c r="E5" s="204" t="s">
        <v>1470</v>
      </c>
      <c r="F5" s="204" t="s">
        <v>1471</v>
      </c>
      <c r="G5" s="205"/>
    </row>
    <row r="6" spans="1:8" s="206" customFormat="1" ht="13.5" customHeight="1">
      <c r="A6" s="732" t="s">
        <v>1472</v>
      </c>
      <c r="B6" s="207" t="s">
        <v>1473</v>
      </c>
      <c r="C6" s="208">
        <f>ROUND(基准地价修正!C33*基准地价修正!D33,0)</f>
        <v>921344</v>
      </c>
      <c r="D6" s="209"/>
      <c r="E6" s="210"/>
      <c r="F6" s="210"/>
      <c r="G6" s="211"/>
    </row>
    <row r="7" spans="1:8" s="206" customFormat="1" ht="13.5" customHeight="1">
      <c r="A7" s="732" t="s">
        <v>1474</v>
      </c>
      <c r="B7" s="207" t="s">
        <v>1475</v>
      </c>
      <c r="C7" s="212">
        <f>ROUND(C6*F7,0)</f>
        <v>28101</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13926</v>
      </c>
      <c r="D8" s="214"/>
      <c r="E8" s="212"/>
      <c r="F8" s="213"/>
      <c r="G8" s="1714" t="s">
        <v>3432</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13926</v>
      </c>
      <c r="D10" s="795">
        <f ca="1">IF(B1="",'数据-汇总表'!E6,IF(INDIRECT("'数据-取费表'!c"&amp;$G$1)="住宅",INDIRECT("'数据-取费表'!s"&amp;$G$1),INDIRECT("'数据-取费表'!k"&amp;$G$1)+INDIRECT("'数据-取费表'!s"&amp;$G$1)))</f>
        <v>69.63</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69.63</v>
      </c>
      <c r="E19" s="203">
        <f>'数据-取费表'!B31</f>
        <v>200</v>
      </c>
      <c r="F19" s="223"/>
      <c r="G19" s="1714" t="s">
        <v>3431</v>
      </c>
    </row>
    <row r="20" spans="1:7" s="206" customFormat="1" ht="13.5" customHeight="1">
      <c r="A20" s="247" t="s">
        <v>1574</v>
      </c>
      <c r="B20" s="202" t="s">
        <v>1575</v>
      </c>
      <c r="C20" s="224">
        <f ca="1">ROUND((C5+C19)*F20,0)</f>
        <v>9634</v>
      </c>
      <c r="D20" s="224"/>
      <c r="E20" s="224"/>
      <c r="F20" s="225">
        <f>'数据-取费表'!B37</f>
        <v>0.01</v>
      </c>
      <c r="G20" s="226" t="s">
        <v>1576</v>
      </c>
    </row>
    <row r="21" spans="1:7" s="206" customFormat="1" ht="13.5" customHeight="1">
      <c r="A21" s="247" t="s">
        <v>1577</v>
      </c>
      <c r="B21" s="202" t="s">
        <v>1578</v>
      </c>
      <c r="C21" s="227">
        <f>F21</f>
        <v>0.01</v>
      </c>
      <c r="D21" s="228" t="s">
        <v>1579</v>
      </c>
      <c r="E21" s="224"/>
      <c r="F21" s="225">
        <f>'数据-取费表'!B38</f>
        <v>0.01</v>
      </c>
      <c r="G21" s="226" t="s">
        <v>1580</v>
      </c>
    </row>
    <row r="22" spans="1:7" s="206" customFormat="1" ht="13.5" customHeight="1">
      <c r="A22" s="247" t="s">
        <v>1581</v>
      </c>
      <c r="B22" s="202" t="s">
        <v>1582</v>
      </c>
      <c r="C22" s="224">
        <f ca="1">ROUND(SUM(C23:C25),0)</f>
        <v>94152</v>
      </c>
      <c r="D22" s="227">
        <f ca="1">C26</f>
        <v>5.0000000000000001E-4</v>
      </c>
      <c r="E22" s="228" t="s">
        <v>1579</v>
      </c>
      <c r="F22" s="229">
        <f ca="1">'数据-取费表'!B40</f>
        <v>4.7500000000000001E-2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93694</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458</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194601</v>
      </c>
      <c r="D27" s="227">
        <f ca="1">C29</f>
        <v>2E-3</v>
      </c>
      <c r="E27" s="228" t="s">
        <v>1514</v>
      </c>
      <c r="F27" s="238">
        <f ca="1">IF(B1="",'数据-取费表'!Q16,INDIRECT("'数据-取费表'!q"&amp;$G$1))</f>
        <v>0.2</v>
      </c>
      <c r="G27" s="239" t="s">
        <v>1515</v>
      </c>
    </row>
    <row r="28" spans="1:7" s="206" customFormat="1" ht="13.5" customHeight="1">
      <c r="A28" s="734" t="s">
        <v>346</v>
      </c>
      <c r="B28" s="240" t="s">
        <v>1516</v>
      </c>
      <c r="C28" s="241">
        <f ca="1">ROUND((C5+C19+C20)*F27,0)</f>
        <v>194601</v>
      </c>
      <c r="D28" s="227"/>
      <c r="E28" s="228"/>
      <c r="F28" s="238"/>
      <c r="G28" s="239"/>
    </row>
    <row r="29" spans="1:7" s="206" customFormat="1" ht="13.5" customHeight="1">
      <c r="A29" s="734" t="s">
        <v>347</v>
      </c>
      <c r="B29" s="240" t="s">
        <v>1517</v>
      </c>
      <c r="C29" s="230">
        <f ca="1">ROUND(C21*F27,4)</f>
        <v>2E-3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1350629</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268598</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243705</v>
      </c>
      <c r="D34" s="209"/>
      <c r="E34" s="212"/>
      <c r="F34" s="249"/>
      <c r="G34" s="211"/>
    </row>
    <row r="35" spans="1:7" ht="13.5" customHeight="1">
      <c r="A35" s="734" t="s">
        <v>351</v>
      </c>
      <c r="B35" s="207" t="s">
        <v>1527</v>
      </c>
      <c r="C35" s="212">
        <f ca="1">ROUND(C34*F35,0)</f>
        <v>7311</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13926</v>
      </c>
      <c r="D37" s="209">
        <f ca="1">D19</f>
        <v>69.63</v>
      </c>
      <c r="E37" s="241">
        <f>'数据-取费表'!B35</f>
        <v>200</v>
      </c>
      <c r="F37" s="251"/>
      <c r="G37" s="253"/>
    </row>
    <row r="38" spans="1:7" ht="13.5" customHeight="1">
      <c r="A38" s="734" t="s">
        <v>354</v>
      </c>
      <c r="B38" s="207" t="s">
        <v>1533</v>
      </c>
      <c r="C38" s="212">
        <f ca="1">ROUND(C34*F38,0)</f>
        <v>3656</v>
      </c>
      <c r="D38" s="212"/>
      <c r="E38" s="212"/>
      <c r="F38" s="251">
        <f>'数据-取费表'!B36</f>
        <v>1.4999999999999999E-2</v>
      </c>
      <c r="G38" s="211" t="s">
        <v>1528</v>
      </c>
    </row>
    <row r="39" spans="1:7" s="206" customFormat="1" ht="13.5" customHeight="1">
      <c r="A39" s="247" t="s">
        <v>1534</v>
      </c>
      <c r="B39" s="202" t="s">
        <v>1535</v>
      </c>
      <c r="C39" s="224">
        <f ca="1">ROUND(C33*F20,0)</f>
        <v>2686</v>
      </c>
      <c r="D39" s="224"/>
      <c r="E39" s="224"/>
      <c r="F39" s="225">
        <f>F20</f>
        <v>0.01</v>
      </c>
      <c r="G39" s="226" t="s">
        <v>1536</v>
      </c>
    </row>
    <row r="40" spans="1:7" s="206" customFormat="1" ht="13.5" customHeight="1">
      <c r="A40" s="247" t="s">
        <v>1537</v>
      </c>
      <c r="B40" s="202" t="s">
        <v>1538</v>
      </c>
      <c r="C40" s="227">
        <f>F21</f>
        <v>0.01</v>
      </c>
      <c r="D40" s="228" t="s">
        <v>1539</v>
      </c>
      <c r="E40" s="224"/>
      <c r="F40" s="225">
        <f>F21</f>
        <v>0.01</v>
      </c>
      <c r="G40" s="226" t="s">
        <v>1540</v>
      </c>
    </row>
    <row r="41" spans="1:7" s="206" customFormat="1" ht="13.5" customHeight="1">
      <c r="A41" s="247" t="s">
        <v>1541</v>
      </c>
      <c r="B41" s="202" t="s">
        <v>1542</v>
      </c>
      <c r="C41" s="224">
        <f ca="1">ROUND(SUM(C42:C43),0)</f>
        <v>12886</v>
      </c>
      <c r="D41" s="227">
        <f ca="1">C44</f>
        <v>5.0000000000000001E-4</v>
      </c>
      <c r="E41" s="228" t="s">
        <v>1539</v>
      </c>
      <c r="F41" s="229">
        <f ca="1">F22</f>
        <v>4.7500000000000001E-2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12758</v>
      </c>
      <c r="D42" s="230"/>
      <c r="E42" s="230"/>
      <c r="F42" s="231"/>
      <c r="G42" s="3356" t="s">
        <v>1591</v>
      </c>
    </row>
    <row r="43" spans="1:7" ht="13.5" customHeight="1">
      <c r="A43" s="734" t="s">
        <v>347</v>
      </c>
      <c r="B43" s="207" t="s">
        <v>1545</v>
      </c>
      <c r="C43" s="230">
        <f ca="1">ROUND(IF('数据-取费表'!B22&lt;=1,C39*F22*'数据-取费表'!B20/2,C39*(POWER((1+F22),'数据-取费表'!B20/2)-1)),0)</f>
        <v>128</v>
      </c>
      <c r="D43" s="230"/>
      <c r="E43" s="230"/>
      <c r="F43" s="231"/>
      <c r="G43" s="3357"/>
    </row>
    <row r="44" spans="1:7" ht="13.5" customHeight="1">
      <c r="A44" s="734" t="s">
        <v>348</v>
      </c>
      <c r="B44" s="207" t="s">
        <v>1546</v>
      </c>
      <c r="C44" s="230">
        <f ca="1">ROUND(IF('数据-取费表'!B22&lt;=1,C40*F22*'数据-取费表'!B20/2,C40*(POWER((1+F22),'数据-取费表'!B20/2)-1)),4)</f>
        <v>5.0000000000000001E-4</v>
      </c>
      <c r="D44" s="230"/>
      <c r="E44" s="230"/>
      <c r="F44" s="231"/>
      <c r="G44" s="3358"/>
    </row>
    <row r="45" spans="1:7" s="206" customFormat="1" ht="13.5" customHeight="1">
      <c r="A45" s="247" t="s">
        <v>1547</v>
      </c>
      <c r="B45" s="236" t="s">
        <v>1513</v>
      </c>
      <c r="C45" s="237">
        <f ca="1">C46</f>
        <v>54257</v>
      </c>
      <c r="D45" s="227">
        <f ca="1">C47</f>
        <v>2E-3</v>
      </c>
      <c r="E45" s="228" t="s">
        <v>1539</v>
      </c>
      <c r="F45" s="238">
        <f ca="1">F27</f>
        <v>0.2</v>
      </c>
      <c r="G45" s="239" t="s">
        <v>1548</v>
      </c>
    </row>
    <row r="46" spans="1:7" s="206" customFormat="1" ht="13.5" customHeight="1">
      <c r="A46" s="734" t="s">
        <v>346</v>
      </c>
      <c r="B46" s="240" t="s">
        <v>1549</v>
      </c>
      <c r="C46" s="241">
        <f ca="1">ROUND((C33+C39)*F27,0)</f>
        <v>54257</v>
      </c>
      <c r="D46" s="255"/>
      <c r="E46" s="228"/>
      <c r="F46" s="238"/>
      <c r="G46" s="239"/>
    </row>
    <row r="47" spans="1:7" s="206" customFormat="1" ht="13.5" customHeight="1">
      <c r="A47" s="734" t="s">
        <v>347</v>
      </c>
      <c r="B47" s="240" t="s">
        <v>1550</v>
      </c>
      <c r="C47" s="230">
        <f ca="1">ROUND(C40*F27,4)</f>
        <v>2E-3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362264</v>
      </c>
      <c r="D49" s="224"/>
      <c r="E49" s="224"/>
      <c r="F49" s="256"/>
      <c r="G49" s="226" t="s">
        <v>1554</v>
      </c>
    </row>
    <row r="50" spans="1:7" s="250" customFormat="1">
      <c r="A50" s="247" t="s">
        <v>1555</v>
      </c>
      <c r="B50" s="202" t="s">
        <v>1556</v>
      </c>
      <c r="C50" s="224"/>
      <c r="D50" s="224"/>
      <c r="E50" s="224"/>
      <c r="F50" s="256">
        <f>IF('数据-取费表'!B24=0,'数据-取费表'!N16,1)</f>
        <v>0.75</v>
      </c>
      <c r="G50" s="239"/>
    </row>
    <row r="51" spans="1:7" ht="16.5" customHeight="1">
      <c r="A51" s="247" t="s">
        <v>1558</v>
      </c>
      <c r="B51" s="202" t="s">
        <v>1593</v>
      </c>
      <c r="C51" s="224">
        <f ca="1">ROUND(C49*F50,0)</f>
        <v>271698</v>
      </c>
      <c r="D51" s="224"/>
      <c r="E51" s="224"/>
      <c r="F51" s="256"/>
      <c r="G51" s="226" t="s">
        <v>1560</v>
      </c>
    </row>
    <row r="52" spans="1:7" s="200" customFormat="1" ht="16.5" thickBot="1">
      <c r="A52" s="257" t="s">
        <v>1561</v>
      </c>
      <c r="B52" s="258"/>
      <c r="C52" s="259">
        <f ca="1">C31+C51</f>
        <v>1622327</v>
      </c>
      <c r="D52" s="258"/>
      <c r="E52" s="258"/>
      <c r="F52" s="258"/>
      <c r="G52" s="260"/>
    </row>
    <row r="55" spans="1:7" ht="15">
      <c r="B55" s="262" t="s">
        <v>1562</v>
      </c>
      <c r="C55" s="263"/>
    </row>
    <row r="56" spans="1:7">
      <c r="B56" s="265" t="s">
        <v>802</v>
      </c>
      <c r="C56" s="267">
        <f ca="1">1-C57</f>
        <v>0.83299999999999996</v>
      </c>
    </row>
    <row r="57" spans="1:7">
      <c r="B57" s="265" t="s">
        <v>803</v>
      </c>
      <c r="C57" s="266">
        <f ca="1">ROUND(C51/C52,3)</f>
        <v>0.16700000000000001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90" zoomScaleNormal="80" zoomScaleSheetLayoutView="90" workbookViewId="0">
      <selection activeCell="E36" sqref="E36"/>
    </sheetView>
  </sheetViews>
  <sheetFormatPr defaultColWidth="12" defaultRowHeight="12.75"/>
  <cols>
    <col min="1" max="1" width="9.75" style="1895" customWidth="1"/>
    <col min="2" max="2" width="22.5" style="1982"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69.63</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0</v>
      </c>
      <c r="C2" s="1846" t="s">
        <v>1935</v>
      </c>
      <c r="D2" s="162" t="s">
        <v>1936</v>
      </c>
      <c r="E2" s="3118" t="s">
        <v>673</v>
      </c>
      <c r="F2" s="162" t="s">
        <v>1937</v>
      </c>
      <c r="G2" s="163" t="str">
        <f>IF(E2="商业",项目基本情况!B37,IF(E2="办公",项目基本情况!C37,IF(E2="住宅",项目基本情况!D37,IF(E2="工业",项目基本情况!E37,项目基本情况!F37))))</f>
        <v>四级</v>
      </c>
      <c r="H2" s="162" t="s">
        <v>1938</v>
      </c>
      <c r="I2" s="163" t="str">
        <f>IF(E2="商业",项目基本情况!B38,IF(E2="办公",项目基本情况!C38,IF(E2="住宅",项目基本情况!D38,IF(E2="工业",项目基本情况!E38,项目基本情况!F38))))</f>
        <v>Ⅳ-23</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1">
        <f>ROUND(SUMPRODUCT((B106:B110=R2)*(C105:N105=G2)*(C106:N110)),4)</f>
        <v>1.5019</v>
      </c>
      <c r="T2" s="3061">
        <f t="shared" ref="T2:T16" si="0">ROUND($C$5*$C$22*$C$23*$C$24*S2*$C$28,0)</f>
        <v>24776</v>
      </c>
      <c r="U2" s="1130"/>
      <c r="V2" s="3061">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0</v>
      </c>
      <c r="C3" s="1846" t="s">
        <v>1941</v>
      </c>
      <c r="D3" s="162" t="s">
        <v>1942</v>
      </c>
      <c r="E3" s="3116" t="s">
        <v>2446</v>
      </c>
      <c r="F3" s="1848"/>
      <c r="G3" s="708">
        <f>IF(F3="宗地容积率",'数据-汇总表'!I4,IF(F3="估价对象容积率",'数据-汇总表'!I6,'数据-汇总表'!I7))</f>
        <v>5.43</v>
      </c>
      <c r="H3" s="162" t="s">
        <v>1943</v>
      </c>
      <c r="I3" s="729">
        <v>18</v>
      </c>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1">
        <f>ROUND(SUMPRODUCT((B106:B110=R3)*(C105:N105=G2)*(C106:N110)),4)</f>
        <v>1.1838</v>
      </c>
      <c r="T3" s="3061">
        <f t="shared" si="0"/>
        <v>19528</v>
      </c>
      <c r="U3" s="1130"/>
      <c r="V3" s="3061">
        <f t="shared" ref="V3:V16" si="1">ROUND(T3*U3/10000,0)</f>
        <v>0</v>
      </c>
      <c r="W3" s="1133"/>
      <c r="X3" s="1133"/>
      <c r="Y3" s="1133"/>
      <c r="Z3" s="1133"/>
      <c r="AA3" s="1133"/>
      <c r="AB3" s="1133"/>
      <c r="AC3" s="1134"/>
      <c r="AD3" s="1135"/>
      <c r="AE3" s="1135"/>
      <c r="AF3" s="1135"/>
      <c r="AG3" s="1135"/>
      <c r="AH3" s="1135"/>
      <c r="AI3" s="1135"/>
      <c r="AJ3" s="1136"/>
    </row>
    <row r="4" spans="1:36" ht="15.75">
      <c r="A4" s="3467"/>
      <c r="B4" s="3468"/>
      <c r="C4" s="3468"/>
      <c r="D4" s="3469"/>
      <c r="E4" s="3469"/>
      <c r="F4" s="3469"/>
      <c r="G4" s="3469"/>
      <c r="H4" s="3469"/>
      <c r="I4" s="3469"/>
      <c r="J4" s="3470"/>
      <c r="K4" s="1056"/>
      <c r="L4" s="1847" t="s">
        <v>1946</v>
      </c>
      <c r="M4" s="811">
        <f>SUMPRODUCT((区片价!B55:B86=I2)*(区片价!C3:G3=E2)*(区片价!C55:G86))</f>
        <v>20890</v>
      </c>
      <c r="N4" s="813">
        <f>SUMPRODUCT((因素修正幅度!B55:B86=I2)*(因素修正幅度!C3:G3=E2)*(因素修正幅度!C55:G86))</f>
        <v>0.1</v>
      </c>
      <c r="O4" s="1056"/>
      <c r="P4" s="1056"/>
      <c r="Q4" s="1056"/>
      <c r="R4" s="1129">
        <v>3</v>
      </c>
      <c r="S4" s="3061">
        <f>ROUND(SUMPRODUCT((B106:B110=R4)*(C105:N105=G2)*(C106:N110)),4)</f>
        <v>1.0004999999999999</v>
      </c>
      <c r="T4" s="3061">
        <f t="shared" si="0"/>
        <v>16504</v>
      </c>
      <c r="U4" s="1130"/>
      <c r="V4" s="3061">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20874</v>
      </c>
      <c r="D5" s="1252">
        <f>ROUND(C6*C17+C20,0)</f>
        <v>20874</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1">
        <f>ROUND(SUMPRODUCT((B106:B110=R5)*(C105:N105=G2)*(C106:N110)),4)</f>
        <v>0.88239999999999996</v>
      </c>
      <c r="T5" s="3061">
        <f t="shared" si="0"/>
        <v>14556</v>
      </c>
      <c r="U5" s="1130"/>
      <c r="V5" s="3061">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20890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1">
        <f>ROUND(SUMPRODUCT((B106:B110=R6)*(C105:N105=G2)*(C106:N110)),4)</f>
        <v>0.84799999999999998</v>
      </c>
      <c r="T6" s="3061">
        <f t="shared" si="0"/>
        <v>13989</v>
      </c>
      <c r="U6" s="1130"/>
      <c r="V6" s="3061">
        <f t="shared" si="1"/>
        <v>0</v>
      </c>
      <c r="W6" s="1133"/>
      <c r="X6" s="1133"/>
      <c r="Y6" s="1133"/>
      <c r="Z6" s="1133"/>
      <c r="AA6" s="1133"/>
      <c r="AB6" s="1133"/>
      <c r="AC6" s="1855"/>
      <c r="AD6" s="1856"/>
      <c r="AE6" s="1856"/>
      <c r="AF6" s="1856"/>
      <c r="AG6" s="1856"/>
      <c r="AH6" s="1856"/>
      <c r="AI6" s="1856"/>
      <c r="AJ6" s="1857"/>
    </row>
    <row r="7" spans="1:36" ht="24.75" thickBot="1">
      <c r="A7" s="3010" t="s">
        <v>3240</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5"/>
      <c r="T7" s="3061">
        <f t="shared" si="0"/>
        <v>0</v>
      </c>
      <c r="U7" s="1130"/>
      <c r="V7" s="3061">
        <f t="shared" si="1"/>
        <v>0</v>
      </c>
      <c r="W7" s="1267" t="s">
        <v>1955</v>
      </c>
      <c r="X7" s="1131" t="str">
        <f>G2</f>
        <v>四级</v>
      </c>
      <c r="Y7" s="1131" t="s">
        <v>1956</v>
      </c>
      <c r="Z7" s="1132">
        <f>G3</f>
        <v>5.43</v>
      </c>
      <c r="AA7" s="1133"/>
      <c r="AB7" s="1133"/>
      <c r="AC7" s="1134"/>
      <c r="AD7" s="1135"/>
      <c r="AE7" s="1135"/>
      <c r="AF7" s="1135"/>
      <c r="AG7" s="1135"/>
      <c r="AH7" s="1135"/>
      <c r="AI7" s="1135"/>
      <c r="AJ7" s="1136"/>
    </row>
    <row r="8" spans="1:36" ht="25.5">
      <c r="A8" s="3007"/>
      <c r="B8" s="162" t="s">
        <v>1957</v>
      </c>
      <c r="C8" s="1870" t="s">
        <v>3422</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1">
        <f t="shared" si="0"/>
        <v>0</v>
      </c>
      <c r="U8" s="1130"/>
      <c r="V8" s="3061">
        <f t="shared" si="1"/>
        <v>0</v>
      </c>
      <c r="W8" s="3464" t="s">
        <v>1960</v>
      </c>
      <c r="X8" s="3465"/>
      <c r="Y8" s="1137" t="s">
        <v>1961</v>
      </c>
      <c r="Z8" s="1137" t="s">
        <v>1962</v>
      </c>
      <c r="AA8" s="1137" t="s">
        <v>1963</v>
      </c>
      <c r="AB8" s="3170" t="s">
        <v>1964</v>
      </c>
      <c r="AC8" s="1137" t="s">
        <v>1965</v>
      </c>
      <c r="AD8" s="1137" t="s">
        <v>1966</v>
      </c>
      <c r="AE8" s="1137" t="s">
        <v>1967</v>
      </c>
      <c r="AF8" s="1137" t="s">
        <v>1968</v>
      </c>
      <c r="AG8" s="1137" t="s">
        <v>1969</v>
      </c>
      <c r="AH8" s="1137" t="s">
        <v>1970</v>
      </c>
      <c r="AI8" s="1137" t="s">
        <v>1971</v>
      </c>
      <c r="AJ8" s="1137" t="s">
        <v>1972</v>
      </c>
    </row>
    <row r="9" spans="1:36" ht="15">
      <c r="A9" s="3007"/>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1">
        <f t="shared" si="0"/>
        <v>0</v>
      </c>
      <c r="U9" s="1130"/>
      <c r="V9" s="3061">
        <f t="shared" si="1"/>
        <v>0</v>
      </c>
      <c r="W9" s="3466"/>
      <c r="X9" s="3062" t="s">
        <v>3271</v>
      </c>
      <c r="Y9" s="3063">
        <v>6</v>
      </c>
      <c r="Z9" s="3064">
        <f>$Y$9</f>
        <v>6</v>
      </c>
      <c r="AA9" s="3064">
        <f t="shared" ref="AA9:AJ9" si="2">$Y$9</f>
        <v>6</v>
      </c>
      <c r="AB9" s="3171">
        <v>18</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1">
        <f t="shared" si="0"/>
        <v>0</v>
      </c>
      <c r="U10" s="1130"/>
      <c r="V10" s="3061">
        <f t="shared" si="1"/>
        <v>0</v>
      </c>
      <c r="W10" s="3466"/>
      <c r="X10" s="3062">
        <v>6</v>
      </c>
      <c r="Y10" s="3065">
        <f>ROUND((-0.5556*(Y9^2)-0.2719*Y9+8944)*(10^(-4)),4)</f>
        <v>0.89219999999999999</v>
      </c>
      <c r="Z10" s="3065">
        <f>ROUND((-0.5556*(Z9^2)-0.2719*Z9+8944)*(10^(-4)),4)</f>
        <v>0.89219999999999999</v>
      </c>
      <c r="AA10" s="3065">
        <f>ROUND((-0.7912*(AA9^2)-11.3794*AA9+8482)*(10^(-4)),4)</f>
        <v>0.83850000000000002</v>
      </c>
      <c r="AB10" s="3172">
        <f>ROUND((-0.7912*(AB9^2)-11.3794*AB9+8482)*(10^(-4)),4)</f>
        <v>0.80210000000000004</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75" thickBot="1">
      <c r="A11" s="3009"/>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1">
        <f t="shared" si="0"/>
        <v>0</v>
      </c>
      <c r="U11" s="1130"/>
      <c r="V11" s="3061">
        <f t="shared" si="1"/>
        <v>0</v>
      </c>
      <c r="W11" s="1133"/>
      <c r="X11" s="1133"/>
      <c r="Y11" s="1133"/>
      <c r="Z11" s="1133"/>
      <c r="AA11" s="1133"/>
      <c r="AB11" s="1133"/>
      <c r="AC11" s="1134"/>
      <c r="AD11" s="2551"/>
      <c r="AE11" s="2551"/>
      <c r="AF11" s="2551"/>
      <c r="AG11" s="2551"/>
      <c r="AH11" s="2551"/>
      <c r="AI11" s="2551"/>
      <c r="AJ11" s="2552"/>
    </row>
    <row r="12" spans="1:36" ht="25.5" thickBot="1">
      <c r="A12" s="3010" t="s">
        <v>3241</v>
      </c>
      <c r="B12" s="3011" t="s">
        <v>3242</v>
      </c>
      <c r="C12" s="3012">
        <v>1</v>
      </c>
      <c r="D12" s="3013" t="s">
        <v>3243</v>
      </c>
      <c r="E12" s="3014" t="s">
        <v>3244</v>
      </c>
      <c r="F12" s="3015"/>
      <c r="G12" s="3016"/>
      <c r="H12" s="3016"/>
      <c r="I12" s="3016"/>
      <c r="J12" s="3017"/>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1">
        <f t="shared" si="0"/>
        <v>0</v>
      </c>
      <c r="U12" s="1130"/>
      <c r="V12" s="3061">
        <f t="shared" si="1"/>
        <v>0</v>
      </c>
      <c r="W12" s="1133"/>
      <c r="X12" s="1133"/>
      <c r="Y12" s="1133"/>
      <c r="Z12" s="1133"/>
      <c r="AA12" s="1133"/>
      <c r="AB12" s="1133"/>
      <c r="AC12" s="1134"/>
      <c r="AD12" s="2551"/>
      <c r="AE12" s="2551"/>
      <c r="AF12" s="2551"/>
      <c r="AG12" s="2551"/>
      <c r="AH12" s="2551"/>
      <c r="AI12" s="2551"/>
      <c r="AJ12" s="2552"/>
    </row>
    <row r="13" spans="1:36" ht="15.75" thickBot="1">
      <c r="A13" s="3010" t="s">
        <v>3245</v>
      </c>
      <c r="B13" s="1878" t="s">
        <v>1982</v>
      </c>
      <c r="C13" s="711">
        <f>ROUND(C16*D16*E16*F16*G16*H16*I16*J16,4)</f>
        <v>0</v>
      </c>
      <c r="D13" s="1879" t="s">
        <v>1983</v>
      </c>
      <c r="E13" s="1880"/>
      <c r="F13" s="1880"/>
      <c r="G13" s="1881"/>
      <c r="H13" s="1881"/>
      <c r="I13" s="1881"/>
      <c r="J13" s="1882"/>
      <c r="K13" s="1056"/>
      <c r="L13" s="3"/>
      <c r="M13" s="4"/>
      <c r="N13" s="3008"/>
      <c r="O13" s="1056"/>
      <c r="P13" s="1056"/>
      <c r="Q13" s="1056"/>
      <c r="R13" s="1129">
        <v>12</v>
      </c>
      <c r="S13" s="1130"/>
      <c r="T13" s="3061">
        <f t="shared" si="0"/>
        <v>0</v>
      </c>
      <c r="U13" s="1130"/>
      <c r="V13" s="3061">
        <f t="shared" si="1"/>
        <v>0</v>
      </c>
      <c r="W13" s="1133"/>
      <c r="X13" s="1133"/>
      <c r="Y13" s="1133"/>
      <c r="Z13" s="1133"/>
      <c r="AA13" s="1133"/>
      <c r="AB13" s="1133"/>
      <c r="AC13" s="1134"/>
      <c r="AD13" s="2551"/>
      <c r="AE13" s="2551"/>
      <c r="AF13" s="2551"/>
      <c r="AG13" s="2551"/>
      <c r="AH13" s="2551"/>
      <c r="AI13" s="2551"/>
      <c r="AJ13" s="2552"/>
    </row>
    <row r="14" spans="1:36" ht="15">
      <c r="A14" s="3006"/>
      <c r="B14" s="1883" t="s">
        <v>1985</v>
      </c>
      <c r="C14" s="1884" t="s">
        <v>1986</v>
      </c>
      <c r="D14" s="1261" t="s">
        <v>1987</v>
      </c>
      <c r="E14" s="27" t="s">
        <v>1988</v>
      </c>
      <c r="F14" s="3018" t="s">
        <v>3246</v>
      </c>
      <c r="G14" s="3018" t="s">
        <v>3246</v>
      </c>
      <c r="H14" s="3018" t="s">
        <v>3246</v>
      </c>
      <c r="I14" s="3018" t="s">
        <v>3246</v>
      </c>
      <c r="J14" s="3018" t="s">
        <v>3246</v>
      </c>
      <c r="K14" s="1056"/>
      <c r="L14" s="1056"/>
      <c r="M14" s="1056"/>
      <c r="N14" s="1056"/>
      <c r="O14" s="1056"/>
      <c r="P14" s="1056"/>
      <c r="Q14" s="1056"/>
      <c r="R14" s="1129">
        <v>13</v>
      </c>
      <c r="S14" s="1130"/>
      <c r="T14" s="3061">
        <f t="shared" si="0"/>
        <v>0</v>
      </c>
      <c r="U14" s="1130"/>
      <c r="V14" s="3061">
        <f t="shared" si="1"/>
        <v>0</v>
      </c>
      <c r="W14" s="1133"/>
      <c r="X14" s="1133"/>
      <c r="Y14" s="1133"/>
      <c r="Z14" s="1133"/>
      <c r="AA14" s="1133"/>
      <c r="AB14" s="1133"/>
      <c r="AC14" s="1134"/>
      <c r="AD14" s="2551"/>
      <c r="AE14" s="2551"/>
      <c r="AF14" s="2551"/>
      <c r="AG14" s="2551"/>
      <c r="AH14" s="2551"/>
      <c r="AI14" s="2551"/>
      <c r="AJ14" s="2552"/>
    </row>
    <row r="15" spans="1:36" ht="15">
      <c r="A15" s="3006"/>
      <c r="B15" s="1885"/>
      <c r="C15" s="1886"/>
      <c r="D15" s="1887"/>
      <c r="E15" s="1888"/>
      <c r="F15" s="1470" t="s">
        <v>3247</v>
      </c>
      <c r="G15" s="1927"/>
      <c r="H15" s="3019"/>
      <c r="I15" s="3020"/>
      <c r="J15" s="3021"/>
      <c r="K15" s="1056"/>
      <c r="L15" s="1056"/>
      <c r="M15" s="1056"/>
      <c r="N15" s="1056"/>
      <c r="O15" s="1056"/>
      <c r="P15" s="1056"/>
      <c r="Q15" s="1056"/>
      <c r="R15" s="1129">
        <v>14</v>
      </c>
      <c r="S15" s="1130"/>
      <c r="T15" s="3061">
        <f t="shared" si="0"/>
        <v>0</v>
      </c>
      <c r="U15" s="1130"/>
      <c r="V15" s="3061">
        <f t="shared" si="1"/>
        <v>0</v>
      </c>
      <c r="W15" s="1133"/>
      <c r="X15" s="1133"/>
      <c r="Y15" s="1133"/>
      <c r="Z15" s="1133"/>
      <c r="AA15" s="1133"/>
      <c r="AB15" s="1133"/>
      <c r="AC15" s="1134"/>
      <c r="AD15" s="2551"/>
      <c r="AE15" s="2551"/>
      <c r="AF15" s="2551"/>
      <c r="AG15" s="2551"/>
      <c r="AH15" s="2551"/>
      <c r="AI15" s="2551"/>
      <c r="AJ15" s="2552"/>
    </row>
    <row r="16" spans="1:36" ht="15.75" thickBot="1">
      <c r="A16" s="3006"/>
      <c r="B16" s="3024" t="s">
        <v>1989</v>
      </c>
      <c r="C16" s="3022"/>
      <c r="D16" s="3022"/>
      <c r="E16" s="3022"/>
      <c r="F16" s="3022">
        <v>1</v>
      </c>
      <c r="G16" s="3022">
        <v>1</v>
      </c>
      <c r="H16" s="3022">
        <v>1</v>
      </c>
      <c r="I16" s="3022">
        <v>1</v>
      </c>
      <c r="J16" s="3023">
        <v>1</v>
      </c>
      <c r="K16" s="1056"/>
      <c r="L16" s="1844"/>
      <c r="M16" s="1844"/>
      <c r="N16" s="1844"/>
      <c r="O16" s="1844"/>
      <c r="P16" s="1844"/>
      <c r="Q16" s="1056"/>
      <c r="R16" s="1129">
        <v>15</v>
      </c>
      <c r="S16" s="1130"/>
      <c r="T16" s="3061">
        <f t="shared" si="0"/>
        <v>0</v>
      </c>
      <c r="U16" s="1130"/>
      <c r="V16" s="3061">
        <f t="shared" si="1"/>
        <v>0</v>
      </c>
      <c r="W16" s="1133"/>
      <c r="X16" s="1133"/>
      <c r="Y16" s="1133"/>
      <c r="Z16" s="1133"/>
      <c r="AA16" s="1133"/>
      <c r="AB16" s="1133"/>
      <c r="AC16" s="1134"/>
      <c r="AD16" s="2551"/>
      <c r="AE16" s="2551"/>
      <c r="AF16" s="2551"/>
      <c r="AG16" s="2551"/>
      <c r="AH16" s="2551"/>
      <c r="AI16" s="2551"/>
      <c r="AJ16" s="2552"/>
    </row>
    <row r="17" spans="1:37">
      <c r="A17" s="3033" t="s">
        <v>3248</v>
      </c>
      <c r="B17" s="3025" t="s">
        <v>3249</v>
      </c>
      <c r="C17" s="3034">
        <f>ROUND(IF(OR(E2="工业",E2="公共服务"),1,IF(AND(E18=0,E19=0),1,IF(AND(E18=J24,E19=G19),0.8,IF(E19=0,1+E17*(-0.2),1+E17*G17*(-0.2))))),4)</f>
        <v>1</v>
      </c>
      <c r="D17" s="3026" t="s">
        <v>3250</v>
      </c>
      <c r="E17" s="3034">
        <f>ROUND(G18/I18,2)</f>
        <v>0</v>
      </c>
      <c r="F17" s="3026" t="s">
        <v>3253</v>
      </c>
      <c r="G17" s="3034" t="e">
        <f>ROUND(E19/G19,2)</f>
        <v>#DIV/0!</v>
      </c>
      <c r="H17" s="3034"/>
      <c r="I17" s="3034"/>
      <c r="J17" s="3035"/>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6"/>
      <c r="B18" s="2309"/>
      <c r="C18" s="3032"/>
      <c r="D18" s="3027" t="s">
        <v>3251</v>
      </c>
      <c r="E18" s="2356"/>
      <c r="F18" s="3028" t="s">
        <v>3254</v>
      </c>
      <c r="G18" s="3032">
        <f>ROUND(1-(1/(POWER(1+G24,E18))),4)</f>
        <v>0</v>
      </c>
      <c r="H18" s="3028" t="s">
        <v>3256</v>
      </c>
      <c r="I18" s="3032">
        <f>ROUND(1-(1/(POWER(1+G24,J24))),4)</f>
        <v>0.88249999999999995</v>
      </c>
      <c r="J18" s="3037"/>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79"/>
      <c r="AH18" s="1979"/>
      <c r="AI18" s="1979"/>
      <c r="AJ18" s="2550"/>
    </row>
    <row r="19" spans="1:37" s="1858" customFormat="1" ht="15" thickBot="1">
      <c r="A19" s="3038"/>
      <c r="B19" s="3039"/>
      <c r="C19" s="3040"/>
      <c r="D19" s="3040" t="s">
        <v>3252</v>
      </c>
      <c r="E19" s="3041"/>
      <c r="F19" s="3042" t="s">
        <v>3255</v>
      </c>
      <c r="G19" s="3041"/>
      <c r="H19" s="3040"/>
      <c r="I19" s="3040"/>
      <c r="J19" s="3043"/>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3"/>
      <c r="AH19" s="1979"/>
      <c r="AI19" s="561"/>
      <c r="AJ19" s="561"/>
      <c r="AK19" s="1899"/>
    </row>
    <row r="20" spans="1:37" s="1858" customFormat="1" ht="14.25">
      <c r="A20" s="3471" t="s">
        <v>3257</v>
      </c>
      <c r="B20" s="159" t="s">
        <v>1994</v>
      </c>
      <c r="C20" s="3029">
        <f>ROUND(IF(F21="与级别开发程度一致",0,(G21-E21)/C21),0)</f>
        <v>-16</v>
      </c>
      <c r="D20" s="3044" t="s">
        <v>1998</v>
      </c>
      <c r="E20" s="3045"/>
      <c r="F20" s="3477" t="s">
        <v>1995</v>
      </c>
      <c r="G20" s="3478"/>
      <c r="H20" s="3030" t="s">
        <v>3424</v>
      </c>
      <c r="I20" s="3030" t="s">
        <v>3425</v>
      </c>
      <c r="J20" s="3031" t="s">
        <v>3426</v>
      </c>
      <c r="K20" s="1889" t="s">
        <v>3427</v>
      </c>
      <c r="L20" s="1889" t="s">
        <v>3428</v>
      </c>
      <c r="M20" s="1889" t="s">
        <v>3429</v>
      </c>
      <c r="N20" s="1889" t="s">
        <v>3430</v>
      </c>
      <c r="O20" s="1890"/>
      <c r="P20" s="1844"/>
      <c r="Q20" s="1060"/>
      <c r="R20" s="1060"/>
      <c r="S20" s="1060"/>
      <c r="T20" s="1057"/>
      <c r="U20" s="1057"/>
      <c r="V20" s="1057"/>
      <c r="W20" s="1056"/>
      <c r="X20" s="1056"/>
      <c r="Y20" s="1056"/>
      <c r="Z20" s="1061"/>
      <c r="AA20" s="1061"/>
      <c r="AB20" s="1061"/>
      <c r="AC20" s="1061"/>
      <c r="AD20" s="1061"/>
      <c r="AE20" s="1061"/>
      <c r="AF20" s="1061"/>
      <c r="AG20" s="2550"/>
      <c r="AH20" s="2550"/>
      <c r="AI20" s="2550"/>
      <c r="AJ20" s="2550"/>
    </row>
    <row r="21" spans="1:37" s="1858" customFormat="1" ht="26.25" thickBot="1">
      <c r="A21" s="3472"/>
      <c r="B21" s="2001" t="s">
        <v>1997</v>
      </c>
      <c r="C21" s="2002">
        <f>IF(E3="M4科研用地",SUMPRODUCT((修正!A2:A7=E3)*(修正!B1:M1=G2)*(修正!B2:M7)),SUMPRODUCT((修正!A2:A7=E2)*(修正!B1:M1=G2)*(修正!B2:M7)))</f>
        <v>2.5</v>
      </c>
      <c r="D21" s="179" t="str">
        <f>IF(OR(G2="八级",G2="九级",G2="十级",G2="十一级",G2="十二级"),"五通一平","七通一平")</f>
        <v>七通一平</v>
      </c>
      <c r="E21" s="1992">
        <f>SUMPRODUCT((修正!B1:M1=G2)*(修正!B17:M17))</f>
        <v>315</v>
      </c>
      <c r="F21" s="1993" t="s">
        <v>3423</v>
      </c>
      <c r="G21" s="1994">
        <f>SUM(H21:O21)</f>
        <v>275</v>
      </c>
      <c r="H21" s="2002">
        <f>SUMPRODUCT((七通一平=H20)*(修正!B1:M1=G2)*(修正!B8:M16))</f>
        <v>70</v>
      </c>
      <c r="I21" s="2002">
        <f>SUMPRODUCT((七通一平=I20)*(修正!B1:M1=G2)*(修正!B8:M16))</f>
        <v>60</v>
      </c>
      <c r="J21" s="2003">
        <f>SUMPRODUCT((七通一平=J20)*(修正!B1:M1=G2)*(修正!B8:M16))</f>
        <v>15</v>
      </c>
      <c r="K21" s="2002">
        <f>SUMPRODUCT((七通一平=K20)*(修正!B1:M1=G2)*(修正!B8:M16))</f>
        <v>25</v>
      </c>
      <c r="L21" s="2002">
        <f>SUMPRODUCT((七通一平=L20)*(修正!B1:M1=G2)*(修正!B8:M16))</f>
        <v>40</v>
      </c>
      <c r="M21" s="2002">
        <f>SUMPRODUCT((七通一平=M20)*(修正!B1:M1=G2)*(修正!B8:M16))</f>
        <v>50</v>
      </c>
      <c r="N21" s="2002">
        <f>SUMPRODUCT((七通一平=N20)*(修正!B1:M1=G2)*(修正!B8:M16))</f>
        <v>15</v>
      </c>
      <c r="O21" s="2004">
        <f>SUMPRODUCT((七通一平=O20)*(修正!B1:M1=G2)*(修正!B8:M16))</f>
        <v>0</v>
      </c>
      <c r="P21" s="1844"/>
      <c r="Q21" s="2550"/>
      <c r="R21" s="1060"/>
      <c r="S21" s="1060"/>
      <c r="T21" s="1057"/>
      <c r="U21" s="1057"/>
      <c r="V21" s="1057"/>
      <c r="W21" s="1056"/>
      <c r="X21" s="1056"/>
      <c r="Y21" s="1056"/>
      <c r="Z21" s="1061"/>
      <c r="AA21" s="1061"/>
      <c r="AB21" s="1061"/>
      <c r="AC21" s="1061"/>
      <c r="AD21" s="1061"/>
      <c r="AE21" s="1061"/>
      <c r="AF21" s="1061"/>
      <c r="AG21" s="2550"/>
      <c r="AH21" s="2550"/>
      <c r="AI21" s="2550"/>
      <c r="AJ21" s="2550"/>
    </row>
    <row r="22" spans="1:37" s="1858" customFormat="1" ht="15.75" thickBot="1">
      <c r="A22" s="1995" t="s">
        <v>363</v>
      </c>
      <c r="B22" s="1996" t="s">
        <v>2000</v>
      </c>
      <c r="C22" s="1997">
        <f>SUMIF(修正!C20:C51,E3,修正!E20:E51)</f>
        <v>0.9</v>
      </c>
      <c r="D22" s="1998"/>
      <c r="E22" s="1999"/>
      <c r="F22" s="1999"/>
      <c r="G22" s="1999"/>
      <c r="H22" s="1999"/>
      <c r="I22" s="1999"/>
      <c r="J22" s="2000"/>
      <c r="K22" s="1061"/>
      <c r="L22" s="2550"/>
      <c r="M22" s="2550"/>
      <c r="N22" s="2550"/>
      <c r="O22" s="1059"/>
      <c r="P22" s="1059"/>
      <c r="Q22" s="2550"/>
      <c r="R22" s="1060"/>
      <c r="S22" s="1060"/>
      <c r="T22" s="1057"/>
      <c r="U22" s="1057"/>
      <c r="V22" s="1057"/>
      <c r="W22" s="1056"/>
      <c r="X22" s="1056"/>
      <c r="Y22" s="1056"/>
      <c r="Z22" s="1061"/>
      <c r="AA22" s="1061"/>
      <c r="AB22" s="1061"/>
      <c r="AC22" s="1061"/>
      <c r="AD22" s="1061"/>
      <c r="AE22" s="1061"/>
      <c r="AF22" s="1061"/>
      <c r="AG22" s="2550"/>
      <c r="AH22" s="2550"/>
      <c r="AI22" s="2550"/>
      <c r="AJ22" s="2550"/>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896" t="s">
        <v>2002</v>
      </c>
      <c r="E23" s="717">
        <v>44197</v>
      </c>
      <c r="F23" s="1896" t="s">
        <v>2003</v>
      </c>
      <c r="G23" s="718">
        <f>'数据-取费表'!B2</f>
        <v>45247</v>
      </c>
      <c r="H23" s="3046" t="s">
        <v>3259</v>
      </c>
      <c r="I23" s="3047" t="str">
        <f>IF(H23="季度增幅（自定义）",SUMIF(N25:N28,E2,O25:O28),"")</f>
        <v/>
      </c>
      <c r="J23" s="3139" t="s">
        <v>3258</v>
      </c>
      <c r="K23" s="1061"/>
      <c r="L23" s="1897" t="s">
        <v>2004</v>
      </c>
      <c r="M23" s="1241">
        <f>ROUND(SUMIF(地价!B2:G2,E2,地价!B16:G16),0)</f>
        <v>350</v>
      </c>
      <c r="N23" s="1898" t="s">
        <v>2005</v>
      </c>
      <c r="O23" s="719">
        <f>ROUNDDOWN(DATEDIF(E23,G23,"M")/3,0)</f>
        <v>11</v>
      </c>
      <c r="P23" s="1057"/>
      <c r="Q23" s="2550"/>
      <c r="R23" s="1060"/>
      <c r="S23" s="1060"/>
      <c r="T23" s="1057"/>
      <c r="U23" s="1057"/>
      <c r="V23" s="1057"/>
      <c r="W23" s="1056"/>
      <c r="X23" s="1056"/>
      <c r="Y23" s="1056"/>
      <c r="Z23" s="1061"/>
      <c r="AA23" s="1061"/>
      <c r="AB23" s="1061"/>
      <c r="AC23" s="1061"/>
      <c r="AD23" s="1061"/>
      <c r="AE23" s="1057"/>
      <c r="AF23" s="1057"/>
      <c r="AG23" s="1979"/>
      <c r="AH23" s="1979"/>
      <c r="AI23" s="1979"/>
      <c r="AJ23" s="1979"/>
      <c r="AK23" s="1895"/>
    </row>
    <row r="24" spans="1:37" s="1858" customFormat="1" ht="24.75" thickBot="1">
      <c r="A24" s="1900" t="s">
        <v>365</v>
      </c>
      <c r="B24" s="1901" t="s">
        <v>2006</v>
      </c>
      <c r="C24" s="720">
        <f>ROUND(POWER(1+G24,J24-I24)*(POWER(1+G24,I24)-1)/(POWER(1+G24,J24)-1),4)</f>
        <v>0.8024</v>
      </c>
      <c r="D24" s="1902" t="s">
        <v>2007</v>
      </c>
      <c r="E24" s="1248">
        <f>存贷款利率!E24/100</f>
        <v>4.3499999999999997E-2</v>
      </c>
      <c r="F24" s="1902" t="s">
        <v>1999</v>
      </c>
      <c r="G24" s="724">
        <f>SUMIF(M30:Q30,E2,M33:Q33)</f>
        <v>5.5E-2</v>
      </c>
      <c r="H24" s="1902" t="s">
        <v>2008</v>
      </c>
      <c r="I24" s="725">
        <f>SUMIF('数据-取费表'!C6:C15,E2,'数据-取费表'!F6:F15)/COUNTIF('数据-取费表'!C6:C15,E2)</f>
        <v>23</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0"/>
      <c r="AH24" s="2550"/>
      <c r="AI24" s="2550"/>
      <c r="AJ24" s="2550"/>
    </row>
    <row r="25" spans="1:37" ht="15">
      <c r="A25" s="1907" t="s">
        <v>366</v>
      </c>
      <c r="B25" s="3173" t="s">
        <v>3465</v>
      </c>
      <c r="C25" s="461">
        <f>IF(B25="容积率修正",IF(G3&lt;10,D26,J26),C27)</f>
        <v>0.80210000000000004</v>
      </c>
      <c r="D25" s="1908"/>
      <c r="E25" s="1908"/>
      <c r="F25" s="1908"/>
      <c r="G25" s="1908"/>
      <c r="H25" s="1908"/>
      <c r="I25" s="1908"/>
      <c r="J25" s="1909"/>
      <c r="K25" s="1061"/>
      <c r="L25" s="2550"/>
      <c r="M25" s="2550"/>
      <c r="N25" s="1910" t="s">
        <v>2013</v>
      </c>
      <c r="O25" s="1093"/>
      <c r="P25" s="1094">
        <f>SUMPRODUCT((地价!A3:A40=YEAR(G23)&amp;"-"&amp;ROUNDUP(MONTH(G23)/3,0))*(地价!AD2:AH2=N25)*(地价!AD3:AH40))</f>
        <v>0</v>
      </c>
      <c r="Q25" s="2550"/>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6" t="s">
        <v>2014</v>
      </c>
      <c r="B26" s="1911" t="s">
        <v>2015</v>
      </c>
      <c r="C26" s="1911" t="s">
        <v>3260</v>
      </c>
      <c r="D26" s="1263">
        <f>IF(E26=G26,F26,IF(G3&lt;10,ROUND(F26+(H26-F26)*(G3-E26)/(G26-E26),4),"——"))</f>
        <v>0.89800000000000002</v>
      </c>
      <c r="E26" s="708">
        <f>ROUNDDOWN(G3,1)</f>
        <v>5.4</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0.89870000000000005</v>
      </c>
      <c r="G26" s="708">
        <f>ROUNDUP(G3,1)</f>
        <v>5.5</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0.89629999999999999</v>
      </c>
      <c r="I26" s="1911" t="s">
        <v>3261</v>
      </c>
      <c r="J26" s="374" t="str">
        <f>IF(G3&gt;=10,D115,"——")</f>
        <v>——</v>
      </c>
      <c r="K26" s="1061"/>
      <c r="L26" s="2550"/>
      <c r="M26" s="2550"/>
      <c r="N26" s="1910"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6" t="s">
        <v>2017</v>
      </c>
      <c r="B27" s="1912" t="s">
        <v>2018</v>
      </c>
      <c r="C27" s="791">
        <f>ROUND(IF(I3&lt;6,SUMPRODUCT((B106:B110=I3)*(C105:N105=G2)*(C106:N110)),SUMIF(C105:N105,G2,C112:N112)),4)</f>
        <v>0.80210000000000004</v>
      </c>
      <c r="D27" s="1842"/>
      <c r="E27" s="1842"/>
      <c r="F27" s="1913"/>
      <c r="G27" s="1914"/>
      <c r="H27" s="1915"/>
      <c r="I27" s="1916"/>
      <c r="J27" s="1917"/>
      <c r="K27" s="1056"/>
      <c r="L27" s="1844"/>
      <c r="M27" s="1844"/>
      <c r="N27" s="1910"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900" t="s">
        <v>367</v>
      </c>
      <c r="B28" s="1893" t="s">
        <v>2020</v>
      </c>
      <c r="C28" s="716">
        <f>SUMIF(A47:A101,E2,B47:B101)</f>
        <v>1.0475000000000001</v>
      </c>
      <c r="D28" s="1894"/>
      <c r="E28" s="1918"/>
      <c r="F28" s="1918"/>
      <c r="G28" s="1918"/>
      <c r="H28" s="1918"/>
      <c r="I28" s="1918"/>
      <c r="J28" s="1919"/>
      <c r="K28" s="1061"/>
      <c r="L28" s="2550"/>
      <c r="M28" s="2550"/>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900" t="s">
        <v>368</v>
      </c>
      <c r="B29" s="1921" t="s">
        <v>2022</v>
      </c>
      <c r="C29" s="721"/>
      <c r="D29" s="1868"/>
      <c r="E29" s="1868"/>
      <c r="F29" s="1922"/>
      <c r="G29" s="1868"/>
      <c r="H29" s="1868"/>
      <c r="I29" s="1868"/>
      <c r="J29" s="1869"/>
      <c r="K29" s="1056"/>
      <c r="L29" s="1844"/>
      <c r="M29" s="1844"/>
      <c r="N29" s="2547" t="s">
        <v>2023</v>
      </c>
      <c r="O29" s="2548"/>
      <c r="P29" s="2549">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3"/>
      <c r="B30" s="1911" t="s">
        <v>2024</v>
      </c>
      <c r="C30" s="2144">
        <f>IF(B25="容积率修正",E33+SUM(E37:E42),SUM(V2:V16)+SUM(E37:E42))</f>
        <v>0</v>
      </c>
      <c r="D30" s="1924"/>
      <c r="E30" s="1842"/>
      <c r="F30" s="1925"/>
      <c r="G30" s="1842"/>
      <c r="H30" s="1842"/>
      <c r="I30" s="1842"/>
      <c r="J30" s="1926"/>
      <c r="K30" s="1056"/>
      <c r="L30" s="3053" t="s">
        <v>1936</v>
      </c>
      <c r="M30" s="3054" t="s">
        <v>1990</v>
      </c>
      <c r="N30" s="3054" t="s">
        <v>1991</v>
      </c>
      <c r="O30" s="3054" t="s">
        <v>1992</v>
      </c>
      <c r="P30" s="3054" t="s">
        <v>1993</v>
      </c>
      <c r="Q30" s="3057" t="s">
        <v>3265</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3"/>
      <c r="B31" s="1927" t="s">
        <v>2025</v>
      </c>
      <c r="C31" s="722">
        <f>E34+SUM(I37:I42)</f>
        <v>0</v>
      </c>
      <c r="D31" s="1928"/>
      <c r="E31" s="1929"/>
      <c r="F31" s="1930"/>
      <c r="G31" s="1929"/>
      <c r="H31" s="1929"/>
      <c r="I31" s="1929"/>
      <c r="J31" s="1931"/>
      <c r="K31" s="1056"/>
      <c r="L31" s="3055" t="s">
        <v>1996</v>
      </c>
      <c r="M31" s="162">
        <v>0.25</v>
      </c>
      <c r="N31" s="162">
        <v>0.2</v>
      </c>
      <c r="O31" s="162">
        <v>0.15</v>
      </c>
      <c r="P31" s="162">
        <v>0.1</v>
      </c>
      <c r="Q31" s="3050">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2"/>
      <c r="B32" s="1933" t="s">
        <v>2026</v>
      </c>
      <c r="C32" s="1934" t="s">
        <v>2027</v>
      </c>
      <c r="D32" s="1934" t="s">
        <v>2028</v>
      </c>
      <c r="E32" s="1935" t="s">
        <v>2029</v>
      </c>
      <c r="F32" s="1936"/>
      <c r="G32" s="1881"/>
      <c r="H32" s="1881"/>
      <c r="I32" s="1881"/>
      <c r="J32" s="1882"/>
      <c r="K32" s="1056"/>
      <c r="L32" s="3056" t="s">
        <v>1999</v>
      </c>
      <c r="M32" s="2355">
        <f>ROUND($E$24*(1+M31),3)</f>
        <v>5.3999999999999999E-2</v>
      </c>
      <c r="N32" s="2355">
        <f>ROUND($E$24*(1+N31),3)</f>
        <v>5.1999999999999998E-2</v>
      </c>
      <c r="O32" s="2355">
        <f>ROUND($E$24*(1+O31),3)</f>
        <v>0.05</v>
      </c>
      <c r="P32" s="2355">
        <f>ROUND($E$24*(1+P31),3)</f>
        <v>4.8000000000000001E-2</v>
      </c>
      <c r="Q32" s="3058">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7"/>
      <c r="B33" s="1938" t="s">
        <v>2030</v>
      </c>
      <c r="C33" s="167">
        <f>ROUND(C5*C22*C23*C24*C25*C28,0)</f>
        <v>13232</v>
      </c>
      <c r="D33" s="1939">
        <f>'数据-汇总表'!F19</f>
        <v>69.63</v>
      </c>
      <c r="E33" s="727">
        <f>ROUND(C33*D33/10000,0)</f>
        <v>92</v>
      </c>
      <c r="F33" s="3048" t="s">
        <v>3263</v>
      </c>
      <c r="G33" s="1940"/>
      <c r="H33" s="1940"/>
      <c r="I33" s="1940"/>
      <c r="J33" s="1941"/>
      <c r="K33" s="1056"/>
      <c r="L33" s="3051" t="s">
        <v>3266</v>
      </c>
      <c r="M33" s="3052">
        <v>5.5E-2</v>
      </c>
      <c r="N33" s="3052">
        <v>5.5E-2</v>
      </c>
      <c r="O33" s="3052">
        <v>0.05</v>
      </c>
      <c r="P33" s="3052">
        <v>0.05</v>
      </c>
      <c r="Q33" s="3052">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t="e">
        <f>ROUND(IF(E2="工业",C33*M42,IF(B25="楼层修正",SUM(V2:V16)*M41*10000/D34,C33*M41)),0)</f>
        <v>#DIV/0!</v>
      </c>
      <c r="D34" s="1944"/>
      <c r="E34" s="727">
        <f>ROUND(IF(B25="楼层修正",SUM(V2:V16)*M40,C34*D34/10000),0)</f>
        <v>0</v>
      </c>
      <c r="F34" s="1945" t="s">
        <v>2032</v>
      </c>
      <c r="G34" s="1946"/>
      <c r="H34" s="1946"/>
      <c r="I34" s="1946"/>
      <c r="J34" s="1947"/>
      <c r="K34" s="1056"/>
      <c r="L34" s="3051" t="s">
        <v>3267</v>
      </c>
      <c r="M34" s="3052">
        <v>6.5000000000000002E-2</v>
      </c>
      <c r="N34" s="3052">
        <v>6.5000000000000002E-2</v>
      </c>
      <c r="O34" s="3052">
        <v>0.06</v>
      </c>
      <c r="P34" s="3052">
        <v>0.06</v>
      </c>
      <c r="Q34" s="3052">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49" t="s">
        <v>3264</v>
      </c>
      <c r="D35" s="1881"/>
      <c r="E35" s="1950"/>
      <c r="F35" s="1950"/>
      <c r="G35" s="1879" t="s">
        <v>2034</v>
      </c>
      <c r="H35" s="1881"/>
      <c r="I35" s="1951"/>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3268</v>
      </c>
      <c r="L36" s="3140">
        <f ca="1">'数据-取费表'!B40</f>
        <v>4.7500000000000001E-2</v>
      </c>
      <c r="M36" s="2365">
        <f ca="1">ROUND($L$36*(1+M31),3)</f>
        <v>5.8999999999999997E-2</v>
      </c>
      <c r="N36" s="2365">
        <f ca="1">ROUND($L$36*(1+N31),3)</f>
        <v>5.7000000000000002E-2</v>
      </c>
      <c r="O36" s="2365">
        <f ca="1">ROUND($L$36*(1+O31),3)</f>
        <v>5.5E-2</v>
      </c>
      <c r="P36" s="2365">
        <f ca="1">ROUND($L$36*(1+P31),3)</f>
        <v>5.1999999999999998E-2</v>
      </c>
      <c r="Q36" s="2365">
        <f ca="1">ROUND($L$36*(1+Q31),3)</f>
        <v>5.5E-2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475"/>
      <c r="B37" s="1954" t="s">
        <v>2036</v>
      </c>
      <c r="C37" s="167">
        <f>ROUND(D5*C22*C23*C24*C28*F37,0)</f>
        <v>9898</v>
      </c>
      <c r="D37" s="1939"/>
      <c r="E37" s="163">
        <f>ROUND(C37*D37/10000,0)</f>
        <v>0</v>
      </c>
      <c r="F37" s="163">
        <f>SUMIF(修正!A57:A68,G2,修正!B57:B68)</f>
        <v>0.6</v>
      </c>
      <c r="G37" s="163">
        <f>ROUND(IF(E2="工业",C37*$M$42,C37*$M$41),0)</f>
        <v>2475</v>
      </c>
      <c r="H37" s="163">
        <f>D37</f>
        <v>0</v>
      </c>
      <c r="I37" s="163">
        <f>ROUND(G37*H37/10000,0)</f>
        <v>0</v>
      </c>
      <c r="J37" s="2752"/>
      <c r="K37" s="3059" t="s">
        <v>3269</v>
      </c>
      <c r="L37" s="1963">
        <f ca="1">L36+K38</f>
        <v>5.2499999999999998E-2</v>
      </c>
      <c r="M37" s="2365">
        <f ca="1">ROUND($L$37*(1+M31),3)</f>
        <v>6.6000000000000003E-2</v>
      </c>
      <c r="N37" s="2365">
        <f t="shared" ref="N37:Q37" ca="1" si="3">ROUND($L$37*(1+N31),3)</f>
        <v>6.3E-2</v>
      </c>
      <c r="O37" s="2365">
        <f t="shared" ca="1" si="3"/>
        <v>0.06</v>
      </c>
      <c r="P37" s="2365">
        <f t="shared" ca="1" si="3"/>
        <v>5.8000000000000003E-2</v>
      </c>
      <c r="Q37" s="2365">
        <f t="shared" ca="1" si="3"/>
        <v>0.06</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76"/>
      <c r="B38" s="1884" t="s">
        <v>2037</v>
      </c>
      <c r="C38" s="167">
        <f>ROUND(D5*C22*C23*C24*C28*F38,0)</f>
        <v>4949</v>
      </c>
      <c r="D38" s="1939"/>
      <c r="E38" s="163">
        <f t="shared" ref="E38:E42" si="4">ROUND(C38*D38/10000,0)</f>
        <v>0</v>
      </c>
      <c r="F38" s="163">
        <f>SUMIF(修正!A57:A68,G2,修正!C57:C68)</f>
        <v>0.3</v>
      </c>
      <c r="G38" s="163">
        <f>ROUND(IF(E2="工业",C38*$M$42,C38*$M$41),0)</f>
        <v>1237</v>
      </c>
      <c r="H38" s="163">
        <f t="shared" ref="H38:H42" si="5">D38</f>
        <v>0</v>
      </c>
      <c r="I38" s="163">
        <f t="shared" ref="I38:I42" si="6">ROUND(G38*H38/10000,0)</f>
        <v>0</v>
      </c>
      <c r="J38" s="2751"/>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476"/>
      <c r="B39" s="1884" t="s">
        <v>3262</v>
      </c>
      <c r="C39" s="167">
        <f>ROUND(D5*C22*C23*C24*C28*F39,0)</f>
        <v>4124</v>
      </c>
      <c r="D39" s="1939"/>
      <c r="E39" s="163">
        <f t="shared" si="4"/>
        <v>0</v>
      </c>
      <c r="F39" s="163">
        <f>SUMIF(修正!A57:A68,G2,修正!D57:D68)</f>
        <v>0.25</v>
      </c>
      <c r="G39" s="163">
        <f>ROUND(IF(E2="工业",C39*$M$42,C39*$M$41),0)</f>
        <v>1031</v>
      </c>
      <c r="H39" s="163">
        <f t="shared" si="5"/>
        <v>0</v>
      </c>
      <c r="I39" s="163">
        <f t="shared" si="6"/>
        <v>0</v>
      </c>
      <c r="J39" s="2751"/>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4" t="s">
        <v>2038</v>
      </c>
      <c r="C40" s="163">
        <f>ROUND(D5*C22*C23*C24*C28*F40,0)</f>
        <v>4124</v>
      </c>
      <c r="D40" s="1939"/>
      <c r="E40" s="163">
        <f t="shared" si="4"/>
        <v>0</v>
      </c>
      <c r="F40" s="167">
        <f>SUMIF(修正!A57:A68,G2,修正!E57:E68)</f>
        <v>0.25</v>
      </c>
      <c r="G40" s="163">
        <f>ROUND(IF(E2="工业",C40*$M$42,C40*$M$41),0)</f>
        <v>1031</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4" t="s">
        <v>2040</v>
      </c>
      <c r="C41" s="163">
        <f>ROUND(D5*C22*C23*C44*C28*F41,0)</f>
        <v>0</v>
      </c>
      <c r="D41" s="1939"/>
      <c r="E41" s="163">
        <f t="shared" si="4"/>
        <v>0</v>
      </c>
      <c r="F41" s="167">
        <f>SUMIF(修正!A57:A68,G2,修正!F57:F68)</f>
        <v>0.25</v>
      </c>
      <c r="G41" s="163">
        <f>ROUND(IF(E2="工业",C41*$M$42,C41*$M$41),0)</f>
        <v>0</v>
      </c>
      <c r="H41" s="163">
        <f t="shared" si="5"/>
        <v>0</v>
      </c>
      <c r="I41" s="163">
        <f t="shared" si="6"/>
        <v>0</v>
      </c>
      <c r="J41" s="939"/>
      <c r="L41" s="3060" t="s">
        <v>3270</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f>ROUND(D5*C22*C23*C44*C28*F42,0)</f>
        <v>0</v>
      </c>
      <c r="D42" s="1944"/>
      <c r="E42" s="179">
        <f t="shared" si="4"/>
        <v>0</v>
      </c>
      <c r="F42" s="723">
        <f>SUMIF(修正!A57:A68,G2,修正!G57:G68)</f>
        <v>0.15</v>
      </c>
      <c r="G42" s="179">
        <f>ROUND(IF(E2="工业",C42*$M$42,C42*$M$41),0)</f>
        <v>0</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f>ROUND(POWER(1+E44,H44-G44)*(POWER(1+E44,G44)-1)/(POWER(1+E44,H44)-1),4)</f>
        <v>0</v>
      </c>
      <c r="D44" s="163" t="s">
        <v>1999</v>
      </c>
      <c r="E44" s="1990">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6" t="s">
        <v>2043</v>
      </c>
      <c r="B48" s="1967">
        <f>1+E50</f>
        <v>1.0475000000000001</v>
      </c>
      <c r="C48" s="1726"/>
      <c r="D48" s="699"/>
      <c r="E48" s="700"/>
      <c r="F48" s="1968"/>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69" t="s">
        <v>2044</v>
      </c>
      <c r="B49" s="1262" t="s">
        <v>2045</v>
      </c>
      <c r="C49" s="1262" t="s">
        <v>2046</v>
      </c>
      <c r="D49" s="1262" t="s">
        <v>2047</v>
      </c>
      <c r="E49" s="701" t="s">
        <v>2048</v>
      </c>
      <c r="F49" s="1970" t="s">
        <v>2049</v>
      </c>
      <c r="G49" s="1262" t="s">
        <v>310</v>
      </c>
      <c r="H49" s="1971"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69" t="s">
        <v>2052</v>
      </c>
      <c r="B50" s="1972" t="str">
        <f>估价对象房地状况!C4</f>
        <v>估价对象位于XX商圈，周边商业氛围成熟，人流量大，商业繁华度好</v>
      </c>
      <c r="C50" s="1887" t="s">
        <v>3446</v>
      </c>
      <c r="D50" s="1002">
        <f t="shared" ref="D50:D58" si="7">SUMIF($J$49:$N$49,C50,J50:N50)</f>
        <v>1.4999999999999999E-2</v>
      </c>
      <c r="E50" s="702">
        <f>ROUND(SUM(D50:D58),4)</f>
        <v>4.7500000000000001E-2</v>
      </c>
      <c r="F50" s="1675">
        <f>IF(E2="商业",SUMIF(L1:L12,G2,N1:N12),"——")</f>
        <v>0.1</v>
      </c>
      <c r="G50" s="1000">
        <v>1.4999999999999999E-2</v>
      </c>
      <c r="H50" s="1003">
        <f t="shared" ref="H50:H58" si="8">IFERROR(ROUNDDOWN($F$50*I50/2,4),"——")</f>
        <v>1.4999999999999999E-2</v>
      </c>
      <c r="I50" s="3066">
        <v>0.3</v>
      </c>
      <c r="J50" s="1001">
        <f t="shared" ref="J50:J58" si="9">K50+$G50</f>
        <v>0.03</v>
      </c>
      <c r="K50" s="1001">
        <f t="shared" ref="K50:K58" si="10">$L50+$G50</f>
        <v>1.4999999999999999E-2</v>
      </c>
      <c r="L50" s="1001">
        <v>0</v>
      </c>
      <c r="M50" s="1001">
        <f t="shared" ref="M50:N58" si="11">L50-$G50</f>
        <v>-1.4999999999999999E-2</v>
      </c>
      <c r="N50" s="1001">
        <f t="shared" si="11"/>
        <v>-0.03</v>
      </c>
      <c r="AA50" s="1057"/>
      <c r="AB50" s="1057"/>
      <c r="AC50" s="1057"/>
      <c r="AD50" s="1057"/>
      <c r="AE50" s="1057"/>
      <c r="AF50" s="1057"/>
      <c r="AG50" s="1057"/>
      <c r="AH50" s="1057"/>
      <c r="AI50" s="1057"/>
      <c r="AJ50" s="1057"/>
      <c r="AK50" s="1057"/>
    </row>
    <row r="51" spans="1:37" s="1056" customFormat="1" ht="38.25">
      <c r="A51" s="1969" t="s">
        <v>2053</v>
      </c>
      <c r="B51" s="1262" t="str">
        <f>估价对象房地状况!C18</f>
        <v>估价对象周边道路状况、公共交通通达情况、停车便捷程度，综合评价交通便捷度较好</v>
      </c>
      <c r="C51" s="1887" t="s">
        <v>3446</v>
      </c>
      <c r="D51" s="1002">
        <f t="shared" si="7"/>
        <v>1.0999999999999999E-2</v>
      </c>
      <c r="E51" s="703"/>
      <c r="F51" s="1675"/>
      <c r="G51" s="1000">
        <v>1.0999999999999999E-2</v>
      </c>
      <c r="H51" s="1003">
        <f t="shared" si="8"/>
        <v>1.0999999999999999E-2</v>
      </c>
      <c r="I51" s="3066">
        <v>0.22</v>
      </c>
      <c r="J51" s="1001">
        <f t="shared" si="9"/>
        <v>2.1999999999999999E-2</v>
      </c>
      <c r="K51" s="1001">
        <f t="shared" si="10"/>
        <v>1.0999999999999999E-2</v>
      </c>
      <c r="L51" s="1001">
        <v>0</v>
      </c>
      <c r="M51" s="1001">
        <f t="shared" si="11"/>
        <v>-1.0999999999999999E-2</v>
      </c>
      <c r="N51" s="1001">
        <f t="shared" si="11"/>
        <v>-2.1999999999999999E-2</v>
      </c>
      <c r="AA51" s="1057"/>
      <c r="AB51" s="1057"/>
      <c r="AC51" s="1057"/>
      <c r="AD51" s="1057"/>
      <c r="AE51" s="1057"/>
      <c r="AF51" s="1057"/>
      <c r="AG51" s="1057"/>
      <c r="AH51" s="1057"/>
      <c r="AI51" s="1057"/>
      <c r="AJ51" s="1057"/>
      <c r="AK51" s="1057"/>
    </row>
    <row r="52" spans="1:37" s="1056" customFormat="1" ht="36">
      <c r="A52" s="3068" t="s">
        <v>3272</v>
      </c>
      <c r="B52" s="1262">
        <f>估价对象房地状况!C19</f>
        <v>0</v>
      </c>
      <c r="C52" s="1887" t="s">
        <v>3446</v>
      </c>
      <c r="D52" s="1002">
        <f t="shared" si="7"/>
        <v>6.0000000000000001E-3</v>
      </c>
      <c r="E52" s="703"/>
      <c r="F52" s="1675"/>
      <c r="G52" s="1000">
        <v>6.0000000000000001E-3</v>
      </c>
      <c r="H52" s="1003">
        <f t="shared" si="8"/>
        <v>6.0000000000000001E-3</v>
      </c>
      <c r="I52" s="3066">
        <v>0.12</v>
      </c>
      <c r="J52" s="1001">
        <f t="shared" si="9"/>
        <v>1.2E-2</v>
      </c>
      <c r="K52" s="1001">
        <f t="shared" si="10"/>
        <v>6.0000000000000001E-3</v>
      </c>
      <c r="L52" s="1001">
        <v>0</v>
      </c>
      <c r="M52" s="1001">
        <f t="shared" si="11"/>
        <v>-6.0000000000000001E-3</v>
      </c>
      <c r="N52" s="1001">
        <f t="shared" si="11"/>
        <v>-1.2E-2</v>
      </c>
      <c r="AA52" s="1057"/>
      <c r="AB52" s="1057"/>
      <c r="AC52" s="1057"/>
      <c r="AD52" s="1057"/>
      <c r="AE52" s="1057"/>
      <c r="AF52" s="1057"/>
      <c r="AG52" s="1057"/>
      <c r="AH52" s="1057"/>
      <c r="AI52" s="1057"/>
      <c r="AJ52" s="1057"/>
      <c r="AK52" s="1057"/>
    </row>
    <row r="53" spans="1:37" s="1056" customFormat="1" ht="36.75">
      <c r="A53" s="1969" t="s">
        <v>2054</v>
      </c>
      <c r="B53" s="1973" t="s">
        <v>2055</v>
      </c>
      <c r="C53" s="1887" t="s">
        <v>3446</v>
      </c>
      <c r="D53" s="1002">
        <f t="shared" si="7"/>
        <v>2.5000000000000001E-3</v>
      </c>
      <c r="E53" s="703"/>
      <c r="F53" s="1675"/>
      <c r="G53" s="1000">
        <v>2.5000000000000001E-3</v>
      </c>
      <c r="H53" s="1003">
        <f t="shared" si="8"/>
        <v>2.5000000000000001E-3</v>
      </c>
      <c r="I53" s="3066">
        <v>0.05</v>
      </c>
      <c r="J53" s="1001">
        <f t="shared" si="9"/>
        <v>5.0000000000000001E-3</v>
      </c>
      <c r="K53" s="1001">
        <f t="shared" si="10"/>
        <v>2.5000000000000001E-3</v>
      </c>
      <c r="L53" s="1001">
        <v>0</v>
      </c>
      <c r="M53" s="1001">
        <f t="shared" si="11"/>
        <v>-2.5000000000000001E-3</v>
      </c>
      <c r="N53" s="1001">
        <f t="shared" si="11"/>
        <v>-5.0000000000000001E-3</v>
      </c>
      <c r="AA53" s="1057"/>
      <c r="AB53" s="1057"/>
      <c r="AC53" s="1057"/>
      <c r="AD53" s="1057"/>
      <c r="AE53" s="1057"/>
      <c r="AF53" s="1057"/>
      <c r="AG53" s="1057"/>
      <c r="AH53" s="1057"/>
      <c r="AI53" s="1057"/>
      <c r="AJ53" s="1057"/>
      <c r="AK53" s="1057"/>
    </row>
    <row r="54" spans="1:37" s="1056" customFormat="1" ht="24">
      <c r="A54" s="1969" t="s">
        <v>2056</v>
      </c>
      <c r="B54" s="1262">
        <f>估价对象房地状况!C24</f>
        <v>0</v>
      </c>
      <c r="C54" s="1887" t="s">
        <v>3448</v>
      </c>
      <c r="D54" s="1002">
        <f t="shared" si="7"/>
        <v>0</v>
      </c>
      <c r="E54" s="703"/>
      <c r="F54" s="1675"/>
      <c r="G54" s="1000">
        <v>4.0000000000000001E-3</v>
      </c>
      <c r="H54" s="1003">
        <f t="shared" si="8"/>
        <v>4.0000000000000001E-3</v>
      </c>
      <c r="I54" s="3066">
        <v>0.08</v>
      </c>
      <c r="J54" s="1001">
        <f t="shared" si="9"/>
        <v>8.0000000000000002E-3</v>
      </c>
      <c r="K54" s="1001">
        <f t="shared" si="10"/>
        <v>4.0000000000000001E-3</v>
      </c>
      <c r="L54" s="1001">
        <v>0</v>
      </c>
      <c r="M54" s="1001">
        <f t="shared" si="11"/>
        <v>-4.0000000000000001E-3</v>
      </c>
      <c r="N54" s="1001">
        <f t="shared" si="11"/>
        <v>-8.0000000000000002E-3</v>
      </c>
      <c r="AA54" s="1057"/>
      <c r="AB54" s="1057"/>
      <c r="AC54" s="1057"/>
      <c r="AD54" s="1057"/>
      <c r="AE54" s="1057"/>
      <c r="AF54" s="1057"/>
      <c r="AG54" s="1057"/>
      <c r="AH54" s="1057"/>
      <c r="AI54" s="1057"/>
      <c r="AJ54" s="1057"/>
      <c r="AK54" s="1057"/>
    </row>
    <row r="55" spans="1:37" s="1056" customFormat="1" ht="24">
      <c r="A55" s="1969" t="s">
        <v>2057</v>
      </c>
      <c r="B55" s="1974" t="s">
        <v>2058</v>
      </c>
      <c r="C55" s="1887" t="s">
        <v>3446</v>
      </c>
      <c r="D55" s="1002">
        <f t="shared" si="7"/>
        <v>2.5000000000000001E-3</v>
      </c>
      <c r="E55" s="703"/>
      <c r="F55" s="1675"/>
      <c r="G55" s="1000">
        <v>2.5000000000000001E-3</v>
      </c>
      <c r="H55" s="1003">
        <f t="shared" si="8"/>
        <v>2.5000000000000001E-3</v>
      </c>
      <c r="I55" s="3066">
        <v>0.05</v>
      </c>
      <c r="J55" s="1001">
        <f t="shared" si="9"/>
        <v>5.0000000000000001E-3</v>
      </c>
      <c r="K55" s="1001">
        <f t="shared" si="10"/>
        <v>2.5000000000000001E-3</v>
      </c>
      <c r="L55" s="1001">
        <v>0</v>
      </c>
      <c r="M55" s="1001">
        <f t="shared" si="11"/>
        <v>-2.5000000000000001E-3</v>
      </c>
      <c r="N55" s="1001">
        <f t="shared" si="11"/>
        <v>-5.0000000000000001E-3</v>
      </c>
      <c r="AA55" s="1057"/>
      <c r="AB55" s="1057"/>
      <c r="AC55" s="1057"/>
      <c r="AD55" s="1057"/>
      <c r="AE55" s="1057"/>
      <c r="AF55" s="1057"/>
      <c r="AG55" s="1057"/>
      <c r="AH55" s="1057"/>
      <c r="AI55" s="1057"/>
      <c r="AJ55" s="1057"/>
      <c r="AK55" s="1057"/>
    </row>
    <row r="56" spans="1:37" s="1056" customFormat="1" ht="25.5">
      <c r="A56" s="1975" t="s">
        <v>2059</v>
      </c>
      <c r="B56" s="1240" t="str">
        <f>估价对象房地状况!C21</f>
        <v>估价对象所在区域公共配套设施齐备情况</v>
      </c>
      <c r="C56" s="1887" t="s">
        <v>3446</v>
      </c>
      <c r="D56" s="1002">
        <f t="shared" si="7"/>
        <v>2.5000000000000001E-3</v>
      </c>
      <c r="E56" s="703"/>
      <c r="F56" s="1675"/>
      <c r="G56" s="1000">
        <v>2.5000000000000001E-3</v>
      </c>
      <c r="H56" s="1003">
        <f t="shared" si="8"/>
        <v>2.5000000000000001E-3</v>
      </c>
      <c r="I56" s="3066">
        <v>0.05</v>
      </c>
      <c r="J56" s="1001">
        <f t="shared" si="9"/>
        <v>5.0000000000000001E-3</v>
      </c>
      <c r="K56" s="1001">
        <f t="shared" si="10"/>
        <v>2.5000000000000001E-3</v>
      </c>
      <c r="L56" s="1001">
        <v>0</v>
      </c>
      <c r="M56" s="1001">
        <f t="shared" si="11"/>
        <v>-2.5000000000000001E-3</v>
      </c>
      <c r="N56" s="1001">
        <f t="shared" si="11"/>
        <v>-5.0000000000000001E-3</v>
      </c>
      <c r="AA56" s="1057"/>
      <c r="AB56" s="1057"/>
      <c r="AC56" s="1057"/>
      <c r="AD56" s="1057"/>
      <c r="AE56" s="1057"/>
      <c r="AF56" s="1057"/>
      <c r="AG56" s="1057"/>
      <c r="AH56" s="1057"/>
      <c r="AI56" s="1057"/>
      <c r="AJ56" s="1057"/>
      <c r="AK56" s="1057"/>
    </row>
    <row r="57" spans="1:37" s="1056" customFormat="1" ht="25.5">
      <c r="A57" s="1975" t="s">
        <v>2060</v>
      </c>
      <c r="B57" s="1262" t="str">
        <f>估价对象房地状况!C22</f>
        <v>估价对象所在区域基础设施水平</v>
      </c>
      <c r="C57" s="1887" t="s">
        <v>3447</v>
      </c>
      <c r="D57" s="1002">
        <f t="shared" si="7"/>
        <v>8.0000000000000002E-3</v>
      </c>
      <c r="E57" s="703"/>
      <c r="F57" s="1675"/>
      <c r="G57" s="1000">
        <v>4.0000000000000001E-3</v>
      </c>
      <c r="H57" s="1003">
        <f t="shared" si="8"/>
        <v>4.0000000000000001E-3</v>
      </c>
      <c r="I57" s="3066">
        <v>0.08</v>
      </c>
      <c r="J57" s="1001">
        <f t="shared" si="9"/>
        <v>8.0000000000000002E-3</v>
      </c>
      <c r="K57" s="1001">
        <f t="shared" si="10"/>
        <v>4.0000000000000001E-3</v>
      </c>
      <c r="L57" s="1001">
        <v>0</v>
      </c>
      <c r="M57" s="1001">
        <f t="shared" si="11"/>
        <v>-4.0000000000000001E-3</v>
      </c>
      <c r="N57" s="1001">
        <f t="shared" si="11"/>
        <v>-8.0000000000000002E-3</v>
      </c>
      <c r="AA57" s="1057"/>
      <c r="AB57" s="1057"/>
      <c r="AC57" s="1057"/>
      <c r="AD57" s="1057"/>
      <c r="AE57" s="1057"/>
      <c r="AF57" s="1057"/>
      <c r="AG57" s="1057"/>
      <c r="AH57" s="1057"/>
      <c r="AI57" s="1057"/>
      <c r="AJ57" s="1057"/>
      <c r="AK57" s="1057"/>
    </row>
    <row r="58" spans="1:37" s="1056" customFormat="1" ht="26.25" thickBot="1">
      <c r="A58" s="1976" t="s">
        <v>2061</v>
      </c>
      <c r="B58" s="1977" t="str">
        <f>估价对象房地状况!C20</f>
        <v>区域自然环境：；人文环境；综合评价环境状况一般</v>
      </c>
      <c r="C58" s="1887" t="s">
        <v>3448</v>
      </c>
      <c r="D58" s="1002">
        <f t="shared" si="7"/>
        <v>0</v>
      </c>
      <c r="E58" s="704"/>
      <c r="F58" s="1675"/>
      <c r="G58" s="1000">
        <v>2.5000000000000001E-3</v>
      </c>
      <c r="H58" s="1003">
        <f t="shared" si="8"/>
        <v>2.5000000000000001E-3</v>
      </c>
      <c r="I58" s="3067">
        <v>0.05</v>
      </c>
      <c r="J58" s="1001">
        <f t="shared" si="9"/>
        <v>5.0000000000000001E-3</v>
      </c>
      <c r="K58" s="1001">
        <f t="shared" si="10"/>
        <v>2.5000000000000001E-3</v>
      </c>
      <c r="L58" s="1001">
        <v>0</v>
      </c>
      <c r="M58" s="1001">
        <f t="shared" si="11"/>
        <v>-2.5000000000000001E-3</v>
      </c>
      <c r="N58" s="1001">
        <f t="shared" si="11"/>
        <v>-5.0000000000000001E-3</v>
      </c>
      <c r="AA58" s="1057"/>
      <c r="AB58" s="1057"/>
      <c r="AC58" s="1057"/>
      <c r="AD58" s="1057"/>
      <c r="AE58" s="1057"/>
      <c r="AF58" s="1057"/>
      <c r="AG58" s="1057"/>
      <c r="AH58" s="1057"/>
      <c r="AI58" s="1057"/>
      <c r="AJ58" s="1057"/>
      <c r="AK58" s="1057"/>
    </row>
    <row r="59" spans="1:37" s="1056" customFormat="1" ht="15">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9" t="s">
        <v>2044</v>
      </c>
      <c r="B60" s="1262"/>
      <c r="C60" s="1262" t="s">
        <v>2046</v>
      </c>
      <c r="D60" s="1262" t="s">
        <v>2047</v>
      </c>
      <c r="E60" s="701" t="s">
        <v>2048</v>
      </c>
      <c r="F60" s="1970" t="s">
        <v>2063</v>
      </c>
      <c r="G60" s="1262" t="s">
        <v>310</v>
      </c>
      <c r="H60" s="1971"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69" t="s">
        <v>2064</v>
      </c>
      <c r="B61" s="1972"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6">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69"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6">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68" t="s">
        <v>3272</v>
      </c>
      <c r="B63" s="1262">
        <f>估价对象房地状况!C19</f>
        <v>0</v>
      </c>
      <c r="C63" s="1887"/>
      <c r="D63" s="1002">
        <f t="shared" si="12"/>
        <v>0</v>
      </c>
      <c r="E63" s="703"/>
      <c r="F63" s="1675"/>
      <c r="G63" s="1000"/>
      <c r="H63" s="1003" t="str">
        <f t="shared" si="13"/>
        <v>——</v>
      </c>
      <c r="I63" s="3066">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69" t="s">
        <v>2054</v>
      </c>
      <c r="B64" s="1973" t="s">
        <v>2055</v>
      </c>
      <c r="C64" s="1887"/>
      <c r="D64" s="1002">
        <f t="shared" si="12"/>
        <v>0</v>
      </c>
      <c r="E64" s="703"/>
      <c r="F64" s="1675"/>
      <c r="G64" s="1000"/>
      <c r="H64" s="1003" t="str">
        <f t="shared" si="13"/>
        <v>——</v>
      </c>
      <c r="I64" s="3066">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2">
        <f>估价对象房地状况!C24</f>
        <v>0</v>
      </c>
      <c r="C65" s="1887"/>
      <c r="D65" s="1002">
        <f t="shared" si="12"/>
        <v>0</v>
      </c>
      <c r="E65" s="703"/>
      <c r="F65" s="1675"/>
      <c r="G65" s="1000"/>
      <c r="H65" s="1003" t="str">
        <f t="shared" si="13"/>
        <v>——</v>
      </c>
      <c r="I65" s="3066">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69" t="s">
        <v>2057</v>
      </c>
      <c r="B66" s="1974" t="s">
        <v>2058</v>
      </c>
      <c r="C66" s="1887"/>
      <c r="D66" s="1002">
        <f t="shared" si="12"/>
        <v>0</v>
      </c>
      <c r="E66" s="703"/>
      <c r="F66" s="1675"/>
      <c r="G66" s="1000"/>
      <c r="H66" s="1003" t="str">
        <f t="shared" si="13"/>
        <v>——</v>
      </c>
      <c r="I66" s="3066">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69" t="s">
        <v>2059</v>
      </c>
      <c r="B67" s="1240" t="str">
        <f>估价对象房地状况!C21</f>
        <v>估价对象所在区域公共配套设施齐备情况</v>
      </c>
      <c r="C67" s="1887"/>
      <c r="D67" s="1002">
        <f t="shared" si="12"/>
        <v>0</v>
      </c>
      <c r="E67" s="703"/>
      <c r="F67" s="1675"/>
      <c r="G67" s="1000"/>
      <c r="H67" s="1003" t="str">
        <f t="shared" si="13"/>
        <v>——</v>
      </c>
      <c r="I67" s="3066">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69" t="s">
        <v>2060</v>
      </c>
      <c r="B68" s="1240" t="str">
        <f>估价对象房地状况!C22</f>
        <v>估价对象所在区域基础设施水平</v>
      </c>
      <c r="C68" s="1887"/>
      <c r="D68" s="1002">
        <f t="shared" si="12"/>
        <v>0</v>
      </c>
      <c r="E68" s="703"/>
      <c r="F68" s="1675"/>
      <c r="G68" s="1000"/>
      <c r="H68" s="1003" t="str">
        <f t="shared" si="13"/>
        <v>——</v>
      </c>
      <c r="I68" s="3066">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6" t="s">
        <v>2061</v>
      </c>
      <c r="B69" s="1978" t="str">
        <f>估价对象房地状况!C20</f>
        <v>区域自然环境：；人文环境；综合评价环境状况一般</v>
      </c>
      <c r="C69" s="1887"/>
      <c r="D69" s="1002">
        <f t="shared" si="12"/>
        <v>0</v>
      </c>
      <c r="E69" s="704"/>
      <c r="F69" s="1675"/>
      <c r="G69" s="1000"/>
      <c r="H69" s="1003" t="str">
        <f t="shared" si="13"/>
        <v>——</v>
      </c>
      <c r="I69" s="3067">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2"/>
      <c r="C71" s="1262" t="s">
        <v>2046</v>
      </c>
      <c r="D71" s="1262" t="s">
        <v>2047</v>
      </c>
      <c r="E71" s="701" t="s">
        <v>2048</v>
      </c>
      <c r="F71" s="1970" t="s">
        <v>2063</v>
      </c>
      <c r="G71" s="1262" t="s">
        <v>310</v>
      </c>
      <c r="H71" s="1971"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9" t="s">
        <v>2066</v>
      </c>
      <c r="B72" s="1972"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6">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69"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6">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68" t="s">
        <v>3272</v>
      </c>
      <c r="B74" s="1262">
        <f>估价对象房地状况!C19</f>
        <v>0</v>
      </c>
      <c r="C74" s="1887"/>
      <c r="D74" s="1002">
        <f t="shared" si="17"/>
        <v>0</v>
      </c>
      <c r="E74" s="705"/>
      <c r="F74" s="1675"/>
      <c r="G74" s="1000"/>
      <c r="H74" s="1003" t="str">
        <f t="shared" si="18"/>
        <v>——</v>
      </c>
      <c r="I74" s="3066">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4.25">
      <c r="A75" s="1969" t="s">
        <v>2067</v>
      </c>
      <c r="B75" s="1262">
        <f>估价对象房地状况!C24</f>
        <v>0</v>
      </c>
      <c r="C75" s="1887"/>
      <c r="D75" s="1002">
        <f t="shared" si="17"/>
        <v>0</v>
      </c>
      <c r="E75" s="705"/>
      <c r="F75" s="1675"/>
      <c r="G75" s="1000"/>
      <c r="H75" s="1003" t="str">
        <f t="shared" si="18"/>
        <v>——</v>
      </c>
      <c r="I75" s="3066">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5.5">
      <c r="A76" s="1969" t="s">
        <v>2059</v>
      </c>
      <c r="B76" s="1240" t="str">
        <f>估价对象房地状况!C21</f>
        <v>估价对象所在区域公共配套设施齐备情况</v>
      </c>
      <c r="C76" s="1887"/>
      <c r="D76" s="1002">
        <f t="shared" si="17"/>
        <v>0</v>
      </c>
      <c r="E76" s="705"/>
      <c r="F76" s="1675"/>
      <c r="G76" s="1000"/>
      <c r="H76" s="1003" t="str">
        <f t="shared" si="18"/>
        <v>——</v>
      </c>
      <c r="I76" s="3066">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69" t="s">
        <v>2060</v>
      </c>
      <c r="B77" s="1240" t="str">
        <f>估价对象房地状况!C22</f>
        <v>估价对象所在区域基础设施水平</v>
      </c>
      <c r="C77" s="1887"/>
      <c r="D77" s="1002">
        <f t="shared" si="17"/>
        <v>0</v>
      </c>
      <c r="E77" s="705"/>
      <c r="F77" s="1675"/>
      <c r="G77" s="1000"/>
      <c r="H77" s="1003" t="str">
        <f t="shared" si="18"/>
        <v>——</v>
      </c>
      <c r="I77" s="3066">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69" t="s">
        <v>2057</v>
      </c>
      <c r="B78" s="1974" t="s">
        <v>2058</v>
      </c>
      <c r="C78" s="1887"/>
      <c r="D78" s="1002">
        <f t="shared" si="17"/>
        <v>0</v>
      </c>
      <c r="E78" s="705"/>
      <c r="F78" s="1675"/>
      <c r="G78" s="1000"/>
      <c r="H78" s="1003" t="str">
        <f t="shared" si="18"/>
        <v>——</v>
      </c>
      <c r="I78" s="3066">
        <v>0.05</v>
      </c>
      <c r="J78" s="1001">
        <f t="shared" si="19"/>
        <v>0</v>
      </c>
      <c r="K78" s="1001">
        <f t="shared" si="20"/>
        <v>0</v>
      </c>
      <c r="L78" s="1001">
        <v>0</v>
      </c>
      <c r="M78" s="1001">
        <f t="shared" si="21"/>
        <v>0</v>
      </c>
      <c r="N78" s="1001">
        <f t="shared" si="21"/>
        <v>0</v>
      </c>
      <c r="O78" s="1844"/>
      <c r="P78" s="1844"/>
      <c r="Z78" s="1845"/>
      <c r="AA78" s="1895"/>
      <c r="AG78" s="1058"/>
      <c r="AK78" s="1895"/>
    </row>
    <row r="79" spans="1:37" ht="25.5">
      <c r="A79" s="1969" t="s">
        <v>2061</v>
      </c>
      <c r="B79" s="1972" t="str">
        <f>估价对象房地状况!C20</f>
        <v>区域自然环境：；人文环境；综合评价环境状况一般</v>
      </c>
      <c r="C79" s="1887"/>
      <c r="D79" s="1002">
        <f t="shared" si="17"/>
        <v>0</v>
      </c>
      <c r="E79" s="705"/>
      <c r="F79" s="1675"/>
      <c r="G79" s="1000"/>
      <c r="H79" s="1003" t="str">
        <f t="shared" si="18"/>
        <v>——</v>
      </c>
      <c r="I79" s="3066">
        <v>0.12</v>
      </c>
      <c r="J79" s="1001">
        <f t="shared" si="19"/>
        <v>0</v>
      </c>
      <c r="K79" s="1001">
        <f t="shared" si="20"/>
        <v>0</v>
      </c>
      <c r="L79" s="1001">
        <v>0</v>
      </c>
      <c r="M79" s="1001">
        <f t="shared" si="21"/>
        <v>0</v>
      </c>
      <c r="N79" s="1001">
        <f t="shared" si="21"/>
        <v>0</v>
      </c>
      <c r="Z79" s="1845"/>
      <c r="AA79" s="1895"/>
      <c r="AG79" s="1058"/>
      <c r="AK79" s="1895"/>
    </row>
    <row r="80" spans="1:37" ht="24.75" thickBot="1">
      <c r="A80" s="1976" t="s">
        <v>2068</v>
      </c>
      <c r="B80" s="1980"/>
      <c r="C80" s="1887"/>
      <c r="D80" s="1002">
        <f t="shared" si="17"/>
        <v>0</v>
      </c>
      <c r="E80" s="706"/>
      <c r="F80" s="1675"/>
      <c r="G80" s="1000"/>
      <c r="H80" s="1003" t="str">
        <f t="shared" si="18"/>
        <v>——</v>
      </c>
      <c r="I80" s="3067">
        <v>0.05</v>
      </c>
      <c r="J80" s="1001">
        <f t="shared" si="19"/>
        <v>0</v>
      </c>
      <c r="K80" s="1001">
        <f t="shared" si="20"/>
        <v>0</v>
      </c>
      <c r="L80" s="1001">
        <v>0</v>
      </c>
      <c r="M80" s="1001">
        <f t="shared" si="21"/>
        <v>0</v>
      </c>
      <c r="N80" s="1001">
        <f t="shared" si="21"/>
        <v>0</v>
      </c>
      <c r="Z80" s="1845"/>
      <c r="AA80" s="1895"/>
      <c r="AG80" s="1058"/>
      <c r="AK80" s="1895"/>
    </row>
    <row r="81" spans="1:37" ht="15">
      <c r="A81" s="1966" t="s">
        <v>2069</v>
      </c>
      <c r="B81" s="1967">
        <f>1+E83</f>
        <v>1</v>
      </c>
      <c r="C81" s="699"/>
      <c r="D81" s="699"/>
      <c r="E81" s="700"/>
      <c r="F81" s="1968"/>
      <c r="G81" s="3"/>
      <c r="H81" s="3"/>
      <c r="I81" s="3"/>
      <c r="J81" s="4"/>
      <c r="K81" s="4"/>
      <c r="L81" s="4"/>
      <c r="M81" s="4"/>
      <c r="N81" s="4"/>
      <c r="Z81" s="1845"/>
      <c r="AA81" s="1895"/>
      <c r="AG81" s="1058"/>
      <c r="AK81" s="1895"/>
    </row>
    <row r="82" spans="1:37" ht="24.75">
      <c r="A82" s="1969" t="s">
        <v>2044</v>
      </c>
      <c r="B82" s="1262"/>
      <c r="C82" s="1262" t="s">
        <v>2046</v>
      </c>
      <c r="D82" s="1262" t="s">
        <v>2047</v>
      </c>
      <c r="E82" s="701" t="s">
        <v>2048</v>
      </c>
      <c r="F82" s="1970" t="s">
        <v>2063</v>
      </c>
      <c r="G82" s="1262" t="s">
        <v>310</v>
      </c>
      <c r="H82" s="1971" t="s">
        <v>2050</v>
      </c>
      <c r="I82" s="1262" t="s">
        <v>2051</v>
      </c>
      <c r="J82" s="530" t="s">
        <v>1721</v>
      </c>
      <c r="K82" s="530" t="s">
        <v>1722</v>
      </c>
      <c r="L82" s="530" t="s">
        <v>1723</v>
      </c>
      <c r="M82" s="530" t="s">
        <v>1724</v>
      </c>
      <c r="N82" s="530" t="s">
        <v>1725</v>
      </c>
      <c r="Z82" s="1845"/>
      <c r="AA82" s="1895"/>
      <c r="AG82" s="1058"/>
      <c r="AK82" s="1895"/>
    </row>
    <row r="83" spans="1:37" ht="38.25">
      <c r="A83" s="1969"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6">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69"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6">
        <v>0.3</v>
      </c>
      <c r="J84" s="1001">
        <f t="shared" si="24"/>
        <v>0</v>
      </c>
      <c r="K84" s="1001">
        <f t="shared" si="25"/>
        <v>0</v>
      </c>
      <c r="L84" s="1001">
        <v>0</v>
      </c>
      <c r="M84" s="1001">
        <f t="shared" si="26"/>
        <v>0</v>
      </c>
      <c r="N84" s="1001">
        <f t="shared" si="26"/>
        <v>0</v>
      </c>
      <c r="Z84" s="1845"/>
      <c r="AA84" s="1895"/>
      <c r="AG84" s="1058"/>
      <c r="AK84" s="1895"/>
    </row>
    <row r="85" spans="1:37" ht="36">
      <c r="A85" s="3068" t="s">
        <v>3273</v>
      </c>
      <c r="B85" s="1262">
        <f>估价对象房地状况!G17</f>
        <v>0</v>
      </c>
      <c r="C85" s="1887"/>
      <c r="D85" s="1002">
        <f t="shared" si="22"/>
        <v>0</v>
      </c>
      <c r="E85" s="705"/>
      <c r="F85" s="1675"/>
      <c r="G85" s="1000"/>
      <c r="H85" s="1003" t="str">
        <f t="shared" si="23"/>
        <v>——</v>
      </c>
      <c r="I85" s="3066">
        <v>0.1</v>
      </c>
      <c r="J85" s="1001">
        <f t="shared" si="24"/>
        <v>0</v>
      </c>
      <c r="K85" s="1001">
        <f t="shared" si="25"/>
        <v>0</v>
      </c>
      <c r="L85" s="1001">
        <v>0</v>
      </c>
      <c r="M85" s="1001">
        <f t="shared" si="26"/>
        <v>0</v>
      </c>
      <c r="N85" s="1001">
        <f t="shared" si="26"/>
        <v>0</v>
      </c>
      <c r="Z85" s="1845"/>
      <c r="AA85" s="1895"/>
      <c r="AG85" s="1058"/>
      <c r="AK85" s="1895"/>
    </row>
    <row r="86" spans="1:37" ht="14.25">
      <c r="A86" s="1969" t="s">
        <v>2067</v>
      </c>
      <c r="B86" s="1262">
        <f>估价对象房地状况!G22</f>
        <v>0</v>
      </c>
      <c r="C86" s="1887"/>
      <c r="D86" s="1002">
        <f t="shared" si="22"/>
        <v>0</v>
      </c>
      <c r="E86" s="705"/>
      <c r="F86" s="1675"/>
      <c r="G86" s="1000"/>
      <c r="H86" s="1003" t="str">
        <f t="shared" si="23"/>
        <v>——</v>
      </c>
      <c r="I86" s="3066">
        <v>0.05</v>
      </c>
      <c r="J86" s="1001">
        <f t="shared" si="24"/>
        <v>0</v>
      </c>
      <c r="K86" s="1001">
        <f t="shared" si="25"/>
        <v>0</v>
      </c>
      <c r="L86" s="1001">
        <v>0</v>
      </c>
      <c r="M86" s="1001">
        <f t="shared" si="26"/>
        <v>0</v>
      </c>
      <c r="N86" s="1001">
        <f t="shared" si="26"/>
        <v>0</v>
      </c>
      <c r="Z86" s="1845"/>
      <c r="AA86" s="1895"/>
      <c r="AG86" s="1058"/>
      <c r="AK86" s="1895"/>
    </row>
    <row r="87" spans="1:37" ht="25.5">
      <c r="A87" s="1969" t="s">
        <v>2059</v>
      </c>
      <c r="B87" s="1240" t="str">
        <f>估价对象房地状况!G19</f>
        <v>估价对象所在区域公共配套设施齐备情况</v>
      </c>
      <c r="C87" s="1887"/>
      <c r="D87" s="1002">
        <f t="shared" si="22"/>
        <v>0</v>
      </c>
      <c r="E87" s="705"/>
      <c r="F87" s="1675"/>
      <c r="G87" s="1000"/>
      <c r="H87" s="1003" t="str">
        <f t="shared" si="23"/>
        <v>——</v>
      </c>
      <c r="I87" s="3066">
        <v>0.06</v>
      </c>
      <c r="J87" s="1001">
        <f t="shared" si="24"/>
        <v>0</v>
      </c>
      <c r="K87" s="1001">
        <f t="shared" si="25"/>
        <v>0</v>
      </c>
      <c r="L87" s="1001">
        <v>0</v>
      </c>
      <c r="M87" s="1001">
        <f t="shared" si="26"/>
        <v>0</v>
      </c>
      <c r="N87" s="1001">
        <f t="shared" si="26"/>
        <v>0</v>
      </c>
    </row>
    <row r="88" spans="1:37" ht="25.5">
      <c r="A88" s="1969" t="s">
        <v>2060</v>
      </c>
      <c r="B88" s="1240" t="str">
        <f>估价对象房地状况!G20</f>
        <v>估价对象所在区域基础设施水平</v>
      </c>
      <c r="C88" s="1887"/>
      <c r="D88" s="1002">
        <f t="shared" si="22"/>
        <v>0</v>
      </c>
      <c r="E88" s="705"/>
      <c r="F88" s="1675"/>
      <c r="G88" s="1000"/>
      <c r="H88" s="1003" t="str">
        <f t="shared" si="23"/>
        <v>——</v>
      </c>
      <c r="I88" s="3066">
        <v>0.12</v>
      </c>
      <c r="J88" s="1001">
        <f t="shared" si="24"/>
        <v>0</v>
      </c>
      <c r="K88" s="1001">
        <f t="shared" si="25"/>
        <v>0</v>
      </c>
      <c r="L88" s="1001">
        <v>0</v>
      </c>
      <c r="M88" s="1001">
        <f t="shared" si="26"/>
        <v>0</v>
      </c>
      <c r="N88" s="1001">
        <f t="shared" si="26"/>
        <v>0</v>
      </c>
    </row>
    <row r="89" spans="1:37" ht="24">
      <c r="A89" s="1969" t="s">
        <v>2057</v>
      </c>
      <c r="B89" s="1974" t="s">
        <v>2071</v>
      </c>
      <c r="C89" s="1887"/>
      <c r="D89" s="1002">
        <f t="shared" si="22"/>
        <v>0</v>
      </c>
      <c r="E89" s="705"/>
      <c r="F89" s="1675"/>
      <c r="G89" s="1000"/>
      <c r="H89" s="1003" t="str">
        <f t="shared" si="23"/>
        <v>——</v>
      </c>
      <c r="I89" s="3066">
        <v>0.06</v>
      </c>
      <c r="J89" s="1001">
        <f t="shared" si="24"/>
        <v>0</v>
      </c>
      <c r="K89" s="1001">
        <f t="shared" si="25"/>
        <v>0</v>
      </c>
      <c r="L89" s="1001">
        <v>0</v>
      </c>
      <c r="M89" s="1001">
        <f t="shared" si="26"/>
        <v>0</v>
      </c>
      <c r="N89" s="1001">
        <f t="shared" si="26"/>
        <v>0</v>
      </c>
    </row>
    <row r="90" spans="1:37" ht="39" thickBot="1">
      <c r="A90" s="1976" t="s">
        <v>2072</v>
      </c>
      <c r="B90" s="1981" t="str">
        <f>估价对象房地状况!G18</f>
        <v>该园区内是否有污染型企业，绿化情况，卫生条件，整体环境状况判断</v>
      </c>
      <c r="C90" s="1887"/>
      <c r="D90" s="1002">
        <f t="shared" si="22"/>
        <v>0</v>
      </c>
      <c r="E90" s="706"/>
      <c r="F90" s="1675"/>
      <c r="G90" s="1000"/>
      <c r="H90" s="1003" t="str">
        <f t="shared" si="23"/>
        <v>——</v>
      </c>
      <c r="I90" s="3067">
        <v>0.05</v>
      </c>
      <c r="J90" s="1001">
        <f t="shared" si="24"/>
        <v>0</v>
      </c>
      <c r="K90" s="1001">
        <f t="shared" si="25"/>
        <v>0</v>
      </c>
      <c r="L90" s="1001">
        <v>0</v>
      </c>
      <c r="M90" s="1001">
        <f t="shared" si="26"/>
        <v>0</v>
      </c>
      <c r="N90" s="1001">
        <f t="shared" si="26"/>
        <v>0</v>
      </c>
    </row>
    <row r="91" spans="1:37" ht="15">
      <c r="A91" s="3076" t="s">
        <v>2615</v>
      </c>
      <c r="B91" s="3077">
        <f>1+E93</f>
        <v>1</v>
      </c>
      <c r="C91" s="3070"/>
      <c r="D91" s="3071"/>
      <c r="E91" s="1675"/>
      <c r="F91" s="1675"/>
      <c r="G91" s="3072"/>
      <c r="H91" s="3073"/>
      <c r="I91" s="3074"/>
      <c r="J91" s="3075"/>
      <c r="K91" s="3075"/>
      <c r="L91" s="3075"/>
      <c r="M91" s="3075"/>
      <c r="N91" s="3075"/>
    </row>
    <row r="92" spans="1:37" ht="24.75">
      <c r="A92" s="3078" t="s">
        <v>3274</v>
      </c>
      <c r="B92" s="2309"/>
      <c r="C92" s="2309" t="s">
        <v>3283</v>
      </c>
      <c r="D92" s="2309" t="s">
        <v>3284</v>
      </c>
      <c r="E92" s="3050" t="s">
        <v>3285</v>
      </c>
      <c r="F92" s="3080" t="s">
        <v>3286</v>
      </c>
      <c r="G92" s="2309" t="s">
        <v>3287</v>
      </c>
      <c r="H92" s="3087" t="s">
        <v>3290</v>
      </c>
      <c r="I92" s="2309" t="s">
        <v>3291</v>
      </c>
      <c r="J92" s="2149" t="s">
        <v>3292</v>
      </c>
      <c r="K92" s="2149" t="s">
        <v>3293</v>
      </c>
      <c r="L92" s="2149" t="s">
        <v>3294</v>
      </c>
      <c r="M92" s="2149" t="s">
        <v>3295</v>
      </c>
      <c r="N92" s="2149" t="s">
        <v>3296</v>
      </c>
    </row>
    <row r="93" spans="1:37" ht="24">
      <c r="A93" s="3068" t="s">
        <v>3275</v>
      </c>
      <c r="B93" s="1221"/>
      <c r="C93" s="1887"/>
      <c r="D93" s="2309">
        <f>SUMIF($J$92:$N$92,C93,J93:N93)</f>
        <v>0</v>
      </c>
      <c r="E93" s="3081">
        <f>ROUND(SUM(D93:D101),4)</f>
        <v>0</v>
      </c>
      <c r="F93" s="1675" t="str">
        <f>IF(E2="公共服务",SUMIF(L1:L12,G2,N1:N12),"——")</f>
        <v>——</v>
      </c>
      <c r="G93" s="3072"/>
      <c r="H93" s="3117" t="str">
        <f>IFERROR(ROUNDDOWN($F$93*I93/2,4),"——")</f>
        <v>——</v>
      </c>
      <c r="I93" s="3066">
        <v>0.25</v>
      </c>
      <c r="J93" s="1911">
        <f t="shared" ref="J93:J101" si="27">K93+$G93</f>
        <v>0</v>
      </c>
      <c r="K93" s="1911">
        <f t="shared" ref="K93:K101" si="28">$L93+$G93</f>
        <v>0</v>
      </c>
      <c r="L93" s="1911">
        <v>0</v>
      </c>
      <c r="M93" s="1911">
        <f t="shared" ref="M93:N101" si="29">L93-$G93</f>
        <v>0</v>
      </c>
      <c r="N93" s="1911">
        <f t="shared" si="29"/>
        <v>0</v>
      </c>
    </row>
    <row r="94" spans="1:37" ht="38.25">
      <c r="A94" s="3078" t="s">
        <v>3276</v>
      </c>
      <c r="B94" s="3069" t="str">
        <f>估价对象房地状况!C18</f>
        <v>估价对象周边道路状况、公共交通通达情况、停车便捷程度，综合评价交通便捷度较好</v>
      </c>
      <c r="C94" s="1887"/>
      <c r="D94" s="2309">
        <f t="shared" ref="D94:D101" si="30">SUMIF($J$60:$N$60,C94,J94:N94)</f>
        <v>0</v>
      </c>
      <c r="E94" s="3082"/>
      <c r="F94" s="1675"/>
      <c r="G94" s="3072"/>
      <c r="H94" s="3117" t="str">
        <f>IFERROR(ROUNDDOWN($F$93*I94/2,4),"——")</f>
        <v>——</v>
      </c>
      <c r="I94" s="3066">
        <v>0.26</v>
      </c>
      <c r="J94" s="1911">
        <f t="shared" si="27"/>
        <v>0</v>
      </c>
      <c r="K94" s="1911">
        <f t="shared" si="28"/>
        <v>0</v>
      </c>
      <c r="L94" s="1911">
        <v>0</v>
      </c>
      <c r="M94" s="1911">
        <f t="shared" si="29"/>
        <v>0</v>
      </c>
      <c r="N94" s="1911">
        <f t="shared" si="29"/>
        <v>0</v>
      </c>
    </row>
    <row r="95" spans="1:37" ht="36">
      <c r="A95" s="3068" t="s">
        <v>3272</v>
      </c>
      <c r="B95" s="3069">
        <f>估价对象房地状况!C19</f>
        <v>0</v>
      </c>
      <c r="C95" s="1887"/>
      <c r="D95" s="2309">
        <f t="shared" si="30"/>
        <v>0</v>
      </c>
      <c r="E95" s="3082"/>
      <c r="F95" s="1675"/>
      <c r="G95" s="3072"/>
      <c r="H95" s="3117" t="str">
        <f t="shared" ref="H95:H101" si="31">IFERROR(ROUNDDOWN($F$93*I95/2,4),"——")</f>
        <v>——</v>
      </c>
      <c r="I95" s="3066">
        <v>0.11</v>
      </c>
      <c r="J95" s="1911">
        <f t="shared" si="27"/>
        <v>0</v>
      </c>
      <c r="K95" s="1911">
        <f t="shared" si="28"/>
        <v>0</v>
      </c>
      <c r="L95" s="1911">
        <v>0</v>
      </c>
      <c r="M95" s="1911">
        <f t="shared" si="29"/>
        <v>0</v>
      </c>
      <c r="N95" s="1911">
        <f t="shared" si="29"/>
        <v>0</v>
      </c>
    </row>
    <row r="96" spans="1:37" ht="36.75">
      <c r="A96" s="3078" t="s">
        <v>3277</v>
      </c>
      <c r="B96" s="3084" t="s">
        <v>3288</v>
      </c>
      <c r="C96" s="1887"/>
      <c r="D96" s="2309">
        <f t="shared" si="30"/>
        <v>0</v>
      </c>
      <c r="E96" s="3082"/>
      <c r="F96" s="1675"/>
      <c r="G96" s="3072"/>
      <c r="H96" s="3117" t="str">
        <f t="shared" si="31"/>
        <v>——</v>
      </c>
      <c r="I96" s="3066">
        <v>0.05</v>
      </c>
      <c r="J96" s="1911">
        <f t="shared" si="27"/>
        <v>0</v>
      </c>
      <c r="K96" s="1911">
        <f t="shared" si="28"/>
        <v>0</v>
      </c>
      <c r="L96" s="1911">
        <v>0</v>
      </c>
      <c r="M96" s="1911">
        <f t="shared" si="29"/>
        <v>0</v>
      </c>
      <c r="N96" s="1911">
        <f t="shared" si="29"/>
        <v>0</v>
      </c>
    </row>
    <row r="97" spans="1:14" ht="24">
      <c r="A97" s="3078" t="s">
        <v>3278</v>
      </c>
      <c r="B97" s="3069">
        <f>估价对象房地状况!C24</f>
        <v>0</v>
      </c>
      <c r="C97" s="1887"/>
      <c r="D97" s="2309">
        <f t="shared" si="30"/>
        <v>0</v>
      </c>
      <c r="E97" s="3082"/>
      <c r="F97" s="1675"/>
      <c r="G97" s="3072"/>
      <c r="H97" s="3117" t="str">
        <f t="shared" si="31"/>
        <v>——</v>
      </c>
      <c r="I97" s="3066">
        <v>0.05</v>
      </c>
      <c r="J97" s="1911">
        <f t="shared" si="27"/>
        <v>0</v>
      </c>
      <c r="K97" s="1911">
        <f t="shared" si="28"/>
        <v>0</v>
      </c>
      <c r="L97" s="1911">
        <v>0</v>
      </c>
      <c r="M97" s="1911">
        <f t="shared" si="29"/>
        <v>0</v>
      </c>
      <c r="N97" s="1911">
        <f t="shared" si="29"/>
        <v>0</v>
      </c>
    </row>
    <row r="98" spans="1:14" ht="24">
      <c r="A98" s="3078" t="s">
        <v>3279</v>
      </c>
      <c r="B98" s="3085" t="s">
        <v>3289</v>
      </c>
      <c r="C98" s="1887"/>
      <c r="D98" s="2309">
        <f t="shared" si="30"/>
        <v>0</v>
      </c>
      <c r="E98" s="3082"/>
      <c r="F98" s="1675"/>
      <c r="G98" s="3072"/>
      <c r="H98" s="3117" t="str">
        <f t="shared" si="31"/>
        <v>——</v>
      </c>
      <c r="I98" s="3066">
        <v>0.06</v>
      </c>
      <c r="J98" s="1911">
        <f t="shared" si="27"/>
        <v>0</v>
      </c>
      <c r="K98" s="1911">
        <f t="shared" si="28"/>
        <v>0</v>
      </c>
      <c r="L98" s="1911">
        <v>0</v>
      </c>
      <c r="M98" s="1911">
        <f t="shared" si="29"/>
        <v>0</v>
      </c>
      <c r="N98" s="1911">
        <f t="shared" si="29"/>
        <v>0</v>
      </c>
    </row>
    <row r="99" spans="1:14" ht="25.5">
      <c r="A99" s="3078" t="s">
        <v>3280</v>
      </c>
      <c r="B99" s="3069" t="str">
        <f>估价对象房地状况!C21</f>
        <v>估价对象所在区域公共配套设施齐备情况</v>
      </c>
      <c r="C99" s="1887"/>
      <c r="D99" s="2309">
        <f t="shared" si="30"/>
        <v>0</v>
      </c>
      <c r="E99" s="3082"/>
      <c r="F99" s="1675"/>
      <c r="G99" s="3072"/>
      <c r="H99" s="3117" t="str">
        <f t="shared" si="31"/>
        <v>——</v>
      </c>
      <c r="I99" s="3066">
        <v>0.06</v>
      </c>
      <c r="J99" s="1911">
        <f t="shared" si="27"/>
        <v>0</v>
      </c>
      <c r="K99" s="1911">
        <f t="shared" si="28"/>
        <v>0</v>
      </c>
      <c r="L99" s="1911">
        <v>0</v>
      </c>
      <c r="M99" s="1911">
        <f t="shared" si="29"/>
        <v>0</v>
      </c>
      <c r="N99" s="1911">
        <f t="shared" si="29"/>
        <v>0</v>
      </c>
    </row>
    <row r="100" spans="1:14" ht="25.5">
      <c r="A100" s="3078" t="s">
        <v>3281</v>
      </c>
      <c r="B100" s="3069" t="str">
        <f>估价对象房地状况!C22</f>
        <v>估价对象所在区域基础设施水平</v>
      </c>
      <c r="C100" s="1887"/>
      <c r="D100" s="2309">
        <f t="shared" si="30"/>
        <v>0</v>
      </c>
      <c r="E100" s="3082"/>
      <c r="F100" s="1675"/>
      <c r="G100" s="3072"/>
      <c r="H100" s="3117" t="str">
        <f t="shared" si="31"/>
        <v>——</v>
      </c>
      <c r="I100" s="3066">
        <v>0.09</v>
      </c>
      <c r="J100" s="1911">
        <f t="shared" si="27"/>
        <v>0</v>
      </c>
      <c r="K100" s="1911">
        <f t="shared" si="28"/>
        <v>0</v>
      </c>
      <c r="L100" s="1911">
        <v>0</v>
      </c>
      <c r="M100" s="1911">
        <f t="shared" si="29"/>
        <v>0</v>
      </c>
      <c r="N100" s="1911">
        <f t="shared" si="29"/>
        <v>0</v>
      </c>
    </row>
    <row r="101" spans="1:14" ht="26.25" thickBot="1">
      <c r="A101" s="3079" t="s">
        <v>3282</v>
      </c>
      <c r="B101" s="3086" t="str">
        <f>估价对象房地状况!C20</f>
        <v>区域自然环境：；人文环境；综合评价环境状况一般</v>
      </c>
      <c r="C101" s="1887"/>
      <c r="D101" s="2309">
        <f t="shared" si="30"/>
        <v>0</v>
      </c>
      <c r="E101" s="3083"/>
      <c r="F101" s="1675"/>
      <c r="G101" s="3072"/>
      <c r="H101" s="3117" t="str">
        <f t="shared" si="31"/>
        <v>——</v>
      </c>
      <c r="I101" s="3067">
        <v>7.0000000000000007E-2</v>
      </c>
      <c r="J101" s="1911">
        <f t="shared" si="27"/>
        <v>0</v>
      </c>
      <c r="K101" s="1911">
        <f t="shared" si="28"/>
        <v>0</v>
      </c>
      <c r="L101" s="1911">
        <v>0</v>
      </c>
      <c r="M101" s="1911">
        <f t="shared" si="29"/>
        <v>0</v>
      </c>
      <c r="N101" s="1911">
        <f t="shared" si="29"/>
        <v>0</v>
      </c>
    </row>
    <row r="103" spans="1:14">
      <c r="A103" s="3473" t="s">
        <v>3297</v>
      </c>
      <c r="B103" s="3473"/>
      <c r="C103" s="3473"/>
      <c r="D103" s="3473"/>
      <c r="E103" s="3473"/>
      <c r="F103" s="3473"/>
      <c r="G103" s="3473"/>
      <c r="H103" s="3473"/>
      <c r="I103" s="3473"/>
      <c r="J103" s="3473"/>
      <c r="K103" s="1667"/>
      <c r="L103" s="1667"/>
      <c r="M103" s="1667"/>
      <c r="N103" s="1667"/>
    </row>
    <row r="104" spans="1:14">
      <c r="A104" s="3474" t="s">
        <v>3298</v>
      </c>
      <c r="B104" s="3474" t="s">
        <v>3299</v>
      </c>
      <c r="C104" s="3088" t="s">
        <v>3300</v>
      </c>
      <c r="D104" s="3089"/>
      <c r="E104" s="3089"/>
      <c r="F104" s="3089"/>
      <c r="G104" s="3089"/>
      <c r="H104" s="3089"/>
      <c r="I104" s="3089"/>
      <c r="J104" s="3090"/>
      <c r="K104" s="3091"/>
      <c r="L104" s="3091"/>
      <c r="M104" s="3091"/>
      <c r="N104" s="3091"/>
    </row>
    <row r="105" spans="1:14">
      <c r="A105" s="3474"/>
      <c r="B105" s="3474"/>
      <c r="C105" s="3092" t="s">
        <v>3301</v>
      </c>
      <c r="D105" s="3092" t="s">
        <v>3302</v>
      </c>
      <c r="E105" s="3092" t="s">
        <v>3303</v>
      </c>
      <c r="F105" s="3092" t="s">
        <v>3304</v>
      </c>
      <c r="G105" s="3092" t="s">
        <v>3305</v>
      </c>
      <c r="H105" s="3092" t="s">
        <v>3306</v>
      </c>
      <c r="I105" s="3092" t="s">
        <v>3307</v>
      </c>
      <c r="J105" s="3092" t="s">
        <v>3308</v>
      </c>
      <c r="K105" s="3092" t="s">
        <v>3309</v>
      </c>
      <c r="L105" s="3092" t="s">
        <v>3310</v>
      </c>
      <c r="M105" s="3092" t="s">
        <v>3311</v>
      </c>
      <c r="N105" s="3092" t="s">
        <v>3312</v>
      </c>
    </row>
    <row r="106" spans="1:14">
      <c r="A106" s="3460" t="s">
        <v>3313</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461"/>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461"/>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461"/>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461"/>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461"/>
      <c r="B111" s="3092" t="s">
        <v>3271</v>
      </c>
      <c r="C111" s="3093">
        <f>$I$3</f>
        <v>18</v>
      </c>
      <c r="D111" s="3093">
        <f t="shared" ref="D111:M111" si="32">$I$3</f>
        <v>18</v>
      </c>
      <c r="E111" s="3093">
        <f t="shared" si="32"/>
        <v>18</v>
      </c>
      <c r="F111" s="3093">
        <f t="shared" si="32"/>
        <v>18</v>
      </c>
      <c r="G111" s="3093">
        <f t="shared" si="32"/>
        <v>18</v>
      </c>
      <c r="H111" s="3093">
        <f t="shared" si="32"/>
        <v>18</v>
      </c>
      <c r="I111" s="3093">
        <f t="shared" si="32"/>
        <v>18</v>
      </c>
      <c r="J111" s="3093">
        <f t="shared" si="32"/>
        <v>18</v>
      </c>
      <c r="K111" s="3093">
        <f t="shared" si="32"/>
        <v>18</v>
      </c>
      <c r="L111" s="3093">
        <f t="shared" si="32"/>
        <v>18</v>
      </c>
      <c r="M111" s="3093">
        <f t="shared" si="32"/>
        <v>18</v>
      </c>
      <c r="N111" s="3093">
        <f>$I$3</f>
        <v>18</v>
      </c>
    </row>
    <row r="112" spans="1:14">
      <c r="A112" s="3462"/>
      <c r="B112" s="3092">
        <v>6</v>
      </c>
      <c r="C112" s="3087">
        <f>(-0.5556*(C111^2)-0.2719*C111+8944)*(10^(-4))</f>
        <v>0.87590913999999997</v>
      </c>
      <c r="D112" s="3087">
        <f>(-0.5556*(D111^2)-0.2719*D111+8944)*(10^(-4))</f>
        <v>0.87590913999999997</v>
      </c>
      <c r="E112" s="3087">
        <f>(-0.7912*(E111^2)-11.3794*E111+8482)*(10^(-4))</f>
        <v>0.80208220000000008</v>
      </c>
      <c r="F112" s="3087">
        <f t="shared" ref="F112:I112" si="33">(-0.7912*(F111^2)-11.3794*F111+8482)*(10^(-4))</f>
        <v>0.80208220000000008</v>
      </c>
      <c r="G112" s="3087">
        <f t="shared" si="33"/>
        <v>0.80208220000000008</v>
      </c>
      <c r="H112" s="3087">
        <f t="shared" si="33"/>
        <v>0.80208220000000008</v>
      </c>
      <c r="I112" s="3087">
        <f t="shared" si="33"/>
        <v>0.80208220000000008</v>
      </c>
      <c r="J112" s="3087">
        <f>(-0.989*(J111^2)-63.78*J111+7771)*(10^(-4))</f>
        <v>0.63025240000000005</v>
      </c>
      <c r="K112" s="3087">
        <f t="shared" ref="K112:N112" si="34">(-0.989*(K111^2)-63.78*K111+7771)*(10^(-4))</f>
        <v>0.63025240000000005</v>
      </c>
      <c r="L112" s="3087">
        <f t="shared" si="34"/>
        <v>0.63025240000000005</v>
      </c>
      <c r="M112" s="3087">
        <f t="shared" si="34"/>
        <v>0.63025240000000005</v>
      </c>
      <c r="N112" s="3087">
        <f t="shared" si="34"/>
        <v>0.63025240000000005</v>
      </c>
    </row>
    <row r="113" spans="1:14">
      <c r="A113" s="3463" t="s">
        <v>3314</v>
      </c>
      <c r="B113" s="3463"/>
      <c r="C113" s="3463"/>
      <c r="D113" s="3463"/>
      <c r="E113" s="3463"/>
      <c r="F113" s="3463"/>
      <c r="G113" s="3463"/>
      <c r="H113" s="3463"/>
      <c r="I113" s="3463"/>
      <c r="J113" s="3463"/>
      <c r="K113" s="3094"/>
      <c r="L113" s="3094"/>
      <c r="M113" s="3094"/>
      <c r="N113" s="3094"/>
    </row>
    <row r="114" spans="1:14">
      <c r="A114" s="3095"/>
      <c r="B114" s="3095"/>
      <c r="C114" s="3095"/>
      <c r="D114" s="3095"/>
      <c r="E114" s="3095"/>
      <c r="F114" s="3095"/>
      <c r="G114" s="3095"/>
      <c r="H114" s="3095"/>
      <c r="I114" s="3095"/>
      <c r="J114" s="3095"/>
      <c r="K114" s="1963"/>
      <c r="L114" s="3095"/>
      <c r="M114" s="3095"/>
      <c r="N114" s="3095"/>
    </row>
    <row r="115" spans="1:14" ht="13.5" thickBot="1">
      <c r="A115" s="3095"/>
      <c r="B115" s="3095"/>
      <c r="C115" s="3095"/>
      <c r="D115" s="3095"/>
      <c r="E115" s="3095"/>
      <c r="F115" s="3095"/>
      <c r="G115" s="3095"/>
      <c r="H115" s="3095"/>
      <c r="I115" s="3095"/>
      <c r="J115" s="3095"/>
      <c r="K115" s="1963"/>
      <c r="L115" s="3095"/>
      <c r="M115" s="3095"/>
      <c r="N115" s="3095"/>
    </row>
    <row r="116" spans="1:14" ht="25.5" thickBot="1">
      <c r="A116" s="3096" t="s">
        <v>3315</v>
      </c>
      <c r="B116" s="3112">
        <f>G3</f>
        <v>5.43</v>
      </c>
      <c r="C116" s="3097" t="s">
        <v>3316</v>
      </c>
      <c r="D116" s="3098">
        <f>SUMPRODUCT((A118:A122=F116)*(B117:M117=H116)*B118:M122)</f>
        <v>0.873</v>
      </c>
      <c r="E116" s="162" t="s">
        <v>3317</v>
      </c>
      <c r="F116" s="3099" t="str">
        <f>E2</f>
        <v>商业</v>
      </c>
      <c r="G116" s="162" t="s">
        <v>3318</v>
      </c>
      <c r="H116" s="3099" t="str">
        <f>G2</f>
        <v>四级</v>
      </c>
      <c r="I116" s="162"/>
      <c r="J116" s="3100"/>
      <c r="K116" s="3100"/>
      <c r="L116" s="3100"/>
      <c r="M116" s="3100"/>
      <c r="N116" s="3095"/>
    </row>
    <row r="117" spans="1:14">
      <c r="A117" s="3101"/>
      <c r="B117" s="3102" t="s">
        <v>3319</v>
      </c>
      <c r="C117" s="3102" t="s">
        <v>3320</v>
      </c>
      <c r="D117" s="3102" t="s">
        <v>3321</v>
      </c>
      <c r="E117" s="3103" t="s">
        <v>3322</v>
      </c>
      <c r="F117" s="3103" t="s">
        <v>3323</v>
      </c>
      <c r="G117" s="3103" t="s">
        <v>3324</v>
      </c>
      <c r="H117" s="3104" t="s">
        <v>3325</v>
      </c>
      <c r="I117" s="3104" t="s">
        <v>3326</v>
      </c>
      <c r="J117" s="3105" t="s">
        <v>3327</v>
      </c>
      <c r="K117" s="3105" t="s">
        <v>3328</v>
      </c>
      <c r="L117" s="3105" t="s">
        <v>3329</v>
      </c>
      <c r="M117" s="3106" t="s">
        <v>3330</v>
      </c>
      <c r="N117" s="3095"/>
    </row>
    <row r="118" spans="1:14">
      <c r="A118" s="3055" t="s">
        <v>3331</v>
      </c>
      <c r="B118" s="3087">
        <f>ROUND(0.9968-0.011*B116,4)</f>
        <v>0.93710000000000004</v>
      </c>
      <c r="C118" s="3087">
        <f>B118</f>
        <v>0.93710000000000004</v>
      </c>
      <c r="D118" s="3087">
        <f>ROUND(0.949-0.014*B116,4)</f>
        <v>0.873</v>
      </c>
      <c r="E118" s="3087">
        <f>D118</f>
        <v>0.873</v>
      </c>
      <c r="F118" s="3087">
        <f>E118</f>
        <v>0.873</v>
      </c>
      <c r="G118" s="3087">
        <f>F118</f>
        <v>0.873</v>
      </c>
      <c r="H118" s="3087">
        <f>G118</f>
        <v>0.873</v>
      </c>
      <c r="I118" s="3087">
        <f>ROUND(0.8486-0.018*B116,4)</f>
        <v>0.75090000000000001</v>
      </c>
      <c r="J118" s="3087">
        <f t="shared" ref="J118:M122" si="35">I118</f>
        <v>0.75090000000000001</v>
      </c>
      <c r="K118" s="3087">
        <f t="shared" si="35"/>
        <v>0.75090000000000001</v>
      </c>
      <c r="L118" s="3087">
        <f t="shared" si="35"/>
        <v>0.75090000000000001</v>
      </c>
      <c r="M118" s="3107">
        <f t="shared" si="35"/>
        <v>0.75090000000000001</v>
      </c>
      <c r="N118" s="3095"/>
    </row>
    <row r="119" spans="1:14">
      <c r="A119" s="3055" t="s">
        <v>3332</v>
      </c>
      <c r="B119" s="3087">
        <f>ROUND(0.993-0.0112*B116,4)</f>
        <v>0.93220000000000003</v>
      </c>
      <c r="C119" s="3087">
        <f>B119</f>
        <v>0.93220000000000003</v>
      </c>
      <c r="D119" s="3087">
        <f>ROUND(0.9415-0.0142*B116,4)</f>
        <v>0.86439999999999995</v>
      </c>
      <c r="E119" s="3087">
        <f t="shared" ref="E119:H120" si="36">D119</f>
        <v>0.86439999999999995</v>
      </c>
      <c r="F119" s="3087">
        <f t="shared" si="36"/>
        <v>0.86439999999999995</v>
      </c>
      <c r="G119" s="3087">
        <f t="shared" si="36"/>
        <v>0.86439999999999995</v>
      </c>
      <c r="H119" s="3087">
        <f t="shared" si="36"/>
        <v>0.86439999999999995</v>
      </c>
      <c r="I119" s="3087">
        <f>ROUND(0.838-0.0182*B116,4)</f>
        <v>0.73919999999999997</v>
      </c>
      <c r="J119" s="3087">
        <f t="shared" si="35"/>
        <v>0.73919999999999997</v>
      </c>
      <c r="K119" s="3087">
        <f t="shared" si="35"/>
        <v>0.73919999999999997</v>
      </c>
      <c r="L119" s="3087">
        <f t="shared" si="35"/>
        <v>0.73919999999999997</v>
      </c>
      <c r="M119" s="3107">
        <f t="shared" si="35"/>
        <v>0.73919999999999997</v>
      </c>
      <c r="N119" s="3095"/>
    </row>
    <row r="120" spans="1:14">
      <c r="A120" s="3055" t="s">
        <v>3333</v>
      </c>
      <c r="B120" s="3087">
        <f>ROUND(0.9448-0.0115*B116,4)</f>
        <v>0.88239999999999996</v>
      </c>
      <c r="C120" s="3087">
        <f>B120</f>
        <v>0.88239999999999996</v>
      </c>
      <c r="D120" s="3087">
        <f>ROUND(0.937-0.0145*B116,4)</f>
        <v>0.85829999999999995</v>
      </c>
      <c r="E120" s="3087">
        <f t="shared" si="36"/>
        <v>0.85829999999999995</v>
      </c>
      <c r="F120" s="3087">
        <f t="shared" si="36"/>
        <v>0.85829999999999995</v>
      </c>
      <c r="G120" s="3087">
        <f t="shared" si="36"/>
        <v>0.85829999999999995</v>
      </c>
      <c r="H120" s="3087">
        <f t="shared" si="36"/>
        <v>0.85829999999999995</v>
      </c>
      <c r="I120" s="3087">
        <f>ROUND(0.7965-0.0185*B116,4)</f>
        <v>0.69599999999999995</v>
      </c>
      <c r="J120" s="3087">
        <f t="shared" si="35"/>
        <v>0.69599999999999995</v>
      </c>
      <c r="K120" s="3087">
        <f t="shared" si="35"/>
        <v>0.69599999999999995</v>
      </c>
      <c r="L120" s="3087">
        <f t="shared" si="35"/>
        <v>0.69599999999999995</v>
      </c>
      <c r="M120" s="3107">
        <f t="shared" si="35"/>
        <v>0.69599999999999995</v>
      </c>
      <c r="N120" s="3095"/>
    </row>
    <row r="121" spans="1:14" ht="13.5" thickBot="1">
      <c r="A121" s="3108" t="s">
        <v>3334</v>
      </c>
      <c r="B121" s="3109">
        <f>ROUND(0.7836-0.012*B116,4)</f>
        <v>0.71840000000000004</v>
      </c>
      <c r="C121" s="3109">
        <f>B121</f>
        <v>0.71840000000000004</v>
      </c>
      <c r="D121" s="3109">
        <f>ROUND(0.753-0.015*B116,4)</f>
        <v>0.67159999999999997</v>
      </c>
      <c r="E121" s="3109">
        <f>D121</f>
        <v>0.67159999999999997</v>
      </c>
      <c r="F121" s="3109">
        <f>E121</f>
        <v>0.67159999999999997</v>
      </c>
      <c r="G121" s="3109">
        <f>ROUND(0.6612-0.018*B116,4)</f>
        <v>0.5635</v>
      </c>
      <c r="H121" s="3109">
        <f>G121</f>
        <v>0.5635</v>
      </c>
      <c r="I121" s="3109">
        <f>ROUND(0.5905-0.019*B116,4)</f>
        <v>0.48730000000000001</v>
      </c>
      <c r="J121" s="3109">
        <f t="shared" si="35"/>
        <v>0.48730000000000001</v>
      </c>
      <c r="K121" s="3109">
        <f t="shared" si="35"/>
        <v>0.48730000000000001</v>
      </c>
      <c r="L121" s="3109">
        <f t="shared" si="35"/>
        <v>0.48730000000000001</v>
      </c>
      <c r="M121" s="3110">
        <f t="shared" si="35"/>
        <v>0.48730000000000001</v>
      </c>
      <c r="N121" s="3095"/>
    </row>
    <row r="122" spans="1:14">
      <c r="A122" s="3111" t="s">
        <v>2615</v>
      </c>
      <c r="B122" s="3087">
        <f>ROUND(0.9404-0.0106*B116,4)</f>
        <v>0.88280000000000003</v>
      </c>
      <c r="C122" s="3087">
        <f>B122</f>
        <v>0.88280000000000003</v>
      </c>
      <c r="D122" s="3087">
        <f>ROUND(0.8955-0.0135*B116,4)</f>
        <v>0.82220000000000004</v>
      </c>
      <c r="E122" s="3087">
        <f t="shared" ref="E122:H122" si="37">D122</f>
        <v>0.82220000000000004</v>
      </c>
      <c r="F122" s="3087">
        <f t="shared" si="37"/>
        <v>0.82220000000000004</v>
      </c>
      <c r="G122" s="3087">
        <f t="shared" si="37"/>
        <v>0.82220000000000004</v>
      </c>
      <c r="H122" s="3087">
        <f t="shared" si="37"/>
        <v>0.82220000000000004</v>
      </c>
      <c r="I122" s="3087">
        <f>ROUND(0.7632-0.0166*B116,4)</f>
        <v>0.67310000000000003</v>
      </c>
      <c r="J122" s="3087">
        <f t="shared" si="35"/>
        <v>0.67310000000000003</v>
      </c>
      <c r="K122" s="3087">
        <f t="shared" si="35"/>
        <v>0.67310000000000003</v>
      </c>
      <c r="L122" s="3087">
        <f t="shared" si="35"/>
        <v>0.67310000000000003</v>
      </c>
      <c r="M122" s="3107">
        <f t="shared" si="35"/>
        <v>0.67310000000000003</v>
      </c>
      <c r="N122" s="3095"/>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0" priority="6" stopIfTrue="1" operator="notEqual">
      <formula>"——"</formula>
    </cfRule>
  </conditionalFormatting>
  <conditionalFormatting sqref="F61">
    <cfRule type="cellIs" dxfId="19" priority="5" stopIfTrue="1" operator="notEqual">
      <formula>"——"</formula>
    </cfRule>
  </conditionalFormatting>
  <conditionalFormatting sqref="F72">
    <cfRule type="cellIs" dxfId="18" priority="4" stopIfTrue="1" operator="notEqual">
      <formula>"——"</formula>
    </cfRule>
  </conditionalFormatting>
  <conditionalFormatting sqref="F83">
    <cfRule type="cellIs" dxfId="17" priority="3" stopIfTrue="1" operator="notEqual">
      <formula>"——"</formula>
    </cfRule>
  </conditionalFormatting>
  <conditionalFormatting sqref="H50:H58 H61:H69 H72:H80 H83:H91">
    <cfRule type="cellIs" dxfId="16" priority="2" operator="notEqual">
      <formula>"——"</formula>
    </cfRule>
  </conditionalFormatting>
  <conditionalFormatting sqref="H93:H101">
    <cfRule type="cellIs" dxfId="1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1" customWidth="1"/>
    <col min="14" max="14" width="10" style="2811" customWidth="1"/>
    <col min="15" max="16" width="8.25" style="2811"/>
    <col min="17" max="17" width="34.125" style="2811" customWidth="1"/>
    <col min="18" max="18" width="8.25" style="2811" customWidth="1"/>
    <col min="19" max="19" width="8.25" style="2811"/>
    <col min="20" max="20" width="11.625" style="2811" customWidth="1"/>
    <col min="21" max="16384" width="8.25" style="2811"/>
  </cols>
  <sheetData>
    <row r="1" spans="1:13" ht="19.5" customHeight="1" thickBot="1">
      <c r="A1" s="2808" t="s">
        <v>2597</v>
      </c>
      <c r="B1" s="2809" t="s">
        <v>2598</v>
      </c>
      <c r="C1" s="2809" t="s">
        <v>2599</v>
      </c>
      <c r="D1" s="2809" t="s">
        <v>2600</v>
      </c>
      <c r="E1" s="2809" t="s">
        <v>2601</v>
      </c>
      <c r="F1" s="2809" t="s">
        <v>2602</v>
      </c>
      <c r="G1" s="2809" t="s">
        <v>2603</v>
      </c>
      <c r="H1" s="2809" t="s">
        <v>2604</v>
      </c>
      <c r="I1" s="2809" t="s">
        <v>2605</v>
      </c>
      <c r="J1" s="2809" t="s">
        <v>2606</v>
      </c>
      <c r="K1" s="2809" t="s">
        <v>2607</v>
      </c>
      <c r="L1" s="2809" t="s">
        <v>2608</v>
      </c>
      <c r="M1" s="2810" t="s">
        <v>2609</v>
      </c>
    </row>
    <row r="2" spans="1:13" ht="19.5" customHeight="1">
      <c r="A2" s="2812" t="s">
        <v>2610</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2611</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2612</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2613</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2614</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2615</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2616</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2617</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2618</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2619</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2620</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2621</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2622</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2623</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2624</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2625</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2626</v>
      </c>
      <c r="B18" s="2834"/>
      <c r="C18" s="2835"/>
      <c r="D18" s="2835"/>
      <c r="E18" s="2834"/>
      <c r="F18" s="2835"/>
      <c r="G18" s="2835"/>
    </row>
    <row r="19" spans="1:13" ht="19.5" customHeight="1" thickBot="1">
      <c r="A19" s="2832" t="s">
        <v>2627</v>
      </c>
      <c r="B19" s="2837" t="s">
        <v>2628</v>
      </c>
      <c r="C19" s="2837" t="s">
        <v>2629</v>
      </c>
      <c r="D19" s="2838"/>
      <c r="E19" s="2832" t="s">
        <v>2630</v>
      </c>
      <c r="F19" s="2839"/>
      <c r="G19" s="2839"/>
    </row>
    <row r="20" spans="1:13" ht="19.5" customHeight="1">
      <c r="A20" s="3488" t="s">
        <v>2610</v>
      </c>
      <c r="B20" s="3483" t="s">
        <v>2631</v>
      </c>
      <c r="C20" s="2840" t="s">
        <v>2442</v>
      </c>
      <c r="D20" s="2841"/>
      <c r="E20" s="2842">
        <v>1</v>
      </c>
      <c r="F20" s="2843" t="s">
        <v>2443</v>
      </c>
      <c r="G20" s="2843"/>
    </row>
    <row r="21" spans="1:13" ht="19.5" customHeight="1">
      <c r="A21" s="3489"/>
      <c r="B21" s="3482"/>
      <c r="C21" s="2844" t="s">
        <v>2444</v>
      </c>
      <c r="D21" s="2845"/>
      <c r="E21" s="2846">
        <v>1</v>
      </c>
      <c r="F21" s="2843" t="s">
        <v>2445</v>
      </c>
      <c r="G21" s="2843"/>
    </row>
    <row r="22" spans="1:13" ht="19.5" customHeight="1">
      <c r="A22" s="3489"/>
      <c r="B22" s="3482"/>
      <c r="C22" s="2844" t="s">
        <v>2446</v>
      </c>
      <c r="D22" s="2845"/>
      <c r="E22" s="2846">
        <v>0.9</v>
      </c>
      <c r="F22" s="2843" t="s">
        <v>2447</v>
      </c>
      <c r="G22" s="2843"/>
    </row>
    <row r="23" spans="1:13" ht="19.5" customHeight="1">
      <c r="A23" s="3489"/>
      <c r="B23" s="3482"/>
      <c r="C23" s="2844" t="s">
        <v>2448</v>
      </c>
      <c r="D23" s="2845"/>
      <c r="E23" s="2846">
        <v>0.9</v>
      </c>
      <c r="F23" s="2843" t="s">
        <v>2449</v>
      </c>
      <c r="G23" s="2843"/>
    </row>
    <row r="24" spans="1:13" ht="19.5" customHeight="1">
      <c r="A24" s="3489"/>
      <c r="B24" s="3482"/>
      <c r="C24" s="2844" t="s">
        <v>2450</v>
      </c>
      <c r="D24" s="2845"/>
      <c r="E24" s="2846">
        <v>0.8</v>
      </c>
      <c r="F24" s="2843" t="s">
        <v>2451</v>
      </c>
      <c r="G24" s="2843"/>
    </row>
    <row r="25" spans="1:13" ht="19.5" customHeight="1" thickBot="1">
      <c r="A25" s="3490"/>
      <c r="B25" s="3484"/>
      <c r="C25" s="2847" t="s">
        <v>2452</v>
      </c>
      <c r="D25" s="2848"/>
      <c r="E25" s="2849">
        <v>0.8</v>
      </c>
      <c r="F25" s="2843" t="s">
        <v>2453</v>
      </c>
      <c r="G25" s="2843"/>
    </row>
    <row r="26" spans="1:13" ht="19.5" customHeight="1" thickBot="1">
      <c r="A26" s="2850" t="s">
        <v>2632</v>
      </c>
      <c r="B26" s="2851" t="s">
        <v>2631</v>
      </c>
      <c r="C26" s="2852" t="s">
        <v>2633</v>
      </c>
      <c r="D26" s="2853"/>
      <c r="E26" s="2854">
        <v>1</v>
      </c>
      <c r="F26" s="2843" t="s">
        <v>2454</v>
      </c>
      <c r="G26" s="2843"/>
    </row>
    <row r="27" spans="1:13" ht="19.5" customHeight="1">
      <c r="A27" s="3485" t="s">
        <v>2634</v>
      </c>
      <c r="B27" s="3483" t="s">
        <v>2615</v>
      </c>
      <c r="C27" s="2840" t="s">
        <v>2455</v>
      </c>
      <c r="D27" s="2841"/>
      <c r="E27" s="2842">
        <v>1</v>
      </c>
      <c r="F27" s="2843" t="s">
        <v>2456</v>
      </c>
      <c r="G27" s="2843"/>
    </row>
    <row r="28" spans="1:13" ht="19.5" customHeight="1">
      <c r="A28" s="3486"/>
      <c r="B28" s="3482"/>
      <c r="C28" s="2844" t="s">
        <v>2457</v>
      </c>
      <c r="D28" s="2845"/>
      <c r="E28" s="2846">
        <v>1</v>
      </c>
      <c r="F28" s="2843" t="s">
        <v>2458</v>
      </c>
      <c r="G28" s="2843"/>
    </row>
    <row r="29" spans="1:13" ht="19.5" customHeight="1">
      <c r="A29" s="3486"/>
      <c r="B29" s="3482"/>
      <c r="C29" s="2844" t="s">
        <v>2459</v>
      </c>
      <c r="D29" s="2845"/>
      <c r="E29" s="2846">
        <v>0.8</v>
      </c>
      <c r="F29" s="2843" t="s">
        <v>2460</v>
      </c>
      <c r="G29" s="2843"/>
    </row>
    <row r="30" spans="1:13" ht="19.5" customHeight="1">
      <c r="A30" s="3486"/>
      <c r="B30" s="3482"/>
      <c r="C30" s="2844" t="s">
        <v>2461</v>
      </c>
      <c r="D30" s="2845"/>
      <c r="E30" s="2846">
        <v>0.8</v>
      </c>
      <c r="F30" s="2843" t="s">
        <v>2462</v>
      </c>
      <c r="G30" s="2843"/>
    </row>
    <row r="31" spans="1:13" ht="19.5" customHeight="1">
      <c r="A31" s="3486"/>
      <c r="B31" s="3482"/>
      <c r="C31" s="2844" t="s">
        <v>2463</v>
      </c>
      <c r="D31" s="2845"/>
      <c r="E31" s="2846">
        <v>0.8</v>
      </c>
      <c r="F31" s="2843" t="s">
        <v>2464</v>
      </c>
      <c r="G31" s="2843"/>
    </row>
    <row r="32" spans="1:13" ht="19.5" customHeight="1">
      <c r="A32" s="3486"/>
      <c r="B32" s="3482"/>
      <c r="C32" s="2844" t="s">
        <v>2465</v>
      </c>
      <c r="D32" s="2845"/>
      <c r="E32" s="2846">
        <v>0.7</v>
      </c>
      <c r="F32" s="2843" t="s">
        <v>2466</v>
      </c>
      <c r="G32" s="2843"/>
    </row>
    <row r="33" spans="1:7" ht="19.5" customHeight="1">
      <c r="A33" s="3486"/>
      <c r="B33" s="3482"/>
      <c r="C33" s="2844" t="s">
        <v>2467</v>
      </c>
      <c r="D33" s="2845"/>
      <c r="E33" s="2846">
        <v>0.8</v>
      </c>
      <c r="F33" s="2843" t="s">
        <v>2468</v>
      </c>
      <c r="G33" s="2843"/>
    </row>
    <row r="34" spans="1:7" ht="19.5" customHeight="1">
      <c r="A34" s="3486"/>
      <c r="B34" s="3482"/>
      <c r="C34" s="2844" t="s">
        <v>2469</v>
      </c>
      <c r="D34" s="2845"/>
      <c r="E34" s="2846">
        <v>0.6</v>
      </c>
      <c r="F34" s="2843" t="s">
        <v>2470</v>
      </c>
      <c r="G34" s="2843"/>
    </row>
    <row r="35" spans="1:7" ht="19.5" customHeight="1">
      <c r="A35" s="3486"/>
      <c r="B35" s="3482"/>
      <c r="C35" s="2844" t="s">
        <v>2471</v>
      </c>
      <c r="D35" s="2845"/>
      <c r="E35" s="2846">
        <v>0.2</v>
      </c>
      <c r="F35" s="2843" t="s">
        <v>2472</v>
      </c>
      <c r="G35" s="2843"/>
    </row>
    <row r="36" spans="1:7" ht="19.5" customHeight="1">
      <c r="A36" s="3486"/>
      <c r="B36" s="3482"/>
      <c r="C36" s="2844" t="s">
        <v>2473</v>
      </c>
      <c r="D36" s="2845"/>
      <c r="E36" s="2846">
        <v>0.2</v>
      </c>
      <c r="F36" s="2843" t="s">
        <v>2474</v>
      </c>
      <c r="G36" s="2843"/>
    </row>
    <row r="37" spans="1:7" ht="19.5" customHeight="1">
      <c r="A37" s="3486"/>
      <c r="B37" s="3480" t="s">
        <v>2635</v>
      </c>
      <c r="C37" s="2844" t="s">
        <v>2475</v>
      </c>
      <c r="D37" s="2845"/>
      <c r="E37" s="2846">
        <v>0.6</v>
      </c>
      <c r="F37" s="2843" t="s">
        <v>2476</v>
      </c>
      <c r="G37" s="2843"/>
    </row>
    <row r="38" spans="1:7" ht="19.5" customHeight="1">
      <c r="A38" s="3486"/>
      <c r="B38" s="3482"/>
      <c r="C38" s="2844" t="s">
        <v>2477</v>
      </c>
      <c r="D38" s="2845"/>
      <c r="E38" s="2846">
        <v>0.6</v>
      </c>
      <c r="F38" s="2843" t="s">
        <v>2478</v>
      </c>
      <c r="G38" s="2843"/>
    </row>
    <row r="39" spans="1:7" ht="19.5" customHeight="1" thickBot="1">
      <c r="A39" s="3487"/>
      <c r="B39" s="3484"/>
      <c r="C39" s="2847" t="s">
        <v>2479</v>
      </c>
      <c r="D39" s="2848"/>
      <c r="E39" s="2849">
        <v>0.6</v>
      </c>
      <c r="F39" s="2843" t="s">
        <v>2480</v>
      </c>
      <c r="G39" s="2843"/>
    </row>
    <row r="40" spans="1:7" ht="19.5" customHeight="1" thickBot="1">
      <c r="A40" s="2850" t="s">
        <v>2612</v>
      </c>
      <c r="B40" s="2851" t="s">
        <v>2612</v>
      </c>
      <c r="C40" s="2852" t="s">
        <v>2636</v>
      </c>
      <c r="D40" s="2853"/>
      <c r="E40" s="2854">
        <v>1</v>
      </c>
      <c r="F40" s="2843" t="s">
        <v>2481</v>
      </c>
      <c r="G40" s="2843"/>
    </row>
    <row r="41" spans="1:7" ht="19.5" customHeight="1">
      <c r="A41" s="3488" t="s">
        <v>2613</v>
      </c>
      <c r="B41" s="3483" t="s">
        <v>2637</v>
      </c>
      <c r="C41" s="2840" t="s">
        <v>2482</v>
      </c>
      <c r="D41" s="2841"/>
      <c r="E41" s="2842">
        <v>1</v>
      </c>
      <c r="F41" s="2843" t="s">
        <v>2483</v>
      </c>
      <c r="G41" s="2843"/>
    </row>
    <row r="42" spans="1:7" ht="19.5" customHeight="1">
      <c r="A42" s="3489"/>
      <c r="B42" s="3482"/>
      <c r="C42" s="2844" t="s">
        <v>2484</v>
      </c>
      <c r="D42" s="2845"/>
      <c r="E42" s="2846">
        <v>1</v>
      </c>
      <c r="F42" s="2843" t="s">
        <v>2485</v>
      </c>
      <c r="G42" s="2843"/>
    </row>
    <row r="43" spans="1:7" ht="19.5" customHeight="1">
      <c r="A43" s="3489"/>
      <c r="B43" s="3481"/>
      <c r="C43" s="2844" t="s">
        <v>2486</v>
      </c>
      <c r="D43" s="2845"/>
      <c r="E43" s="2846">
        <v>1.5</v>
      </c>
      <c r="F43" s="2843" t="s">
        <v>2487</v>
      </c>
      <c r="G43" s="2843"/>
    </row>
    <row r="44" spans="1:7" ht="19.5" customHeight="1">
      <c r="A44" s="3489"/>
      <c r="B44" s="2855" t="s">
        <v>2638</v>
      </c>
      <c r="C44" s="2844" t="s">
        <v>2639</v>
      </c>
      <c r="D44" s="2845"/>
      <c r="E44" s="2846">
        <v>2</v>
      </c>
      <c r="F44" s="2843" t="s">
        <v>2488</v>
      </c>
      <c r="G44" s="2843"/>
    </row>
    <row r="45" spans="1:7" ht="19.5" customHeight="1">
      <c r="A45" s="3489"/>
      <c r="B45" s="3480" t="s">
        <v>2640</v>
      </c>
      <c r="C45" s="2844" t="s">
        <v>2489</v>
      </c>
      <c r="D45" s="2845"/>
      <c r="E45" s="2846">
        <v>1</v>
      </c>
      <c r="F45" s="2843" t="s">
        <v>2490</v>
      </c>
      <c r="G45" s="2843"/>
    </row>
    <row r="46" spans="1:7" ht="19.5" customHeight="1">
      <c r="A46" s="3489"/>
      <c r="B46" s="3482"/>
      <c r="C46" s="2844" t="s">
        <v>2491</v>
      </c>
      <c r="D46" s="2845"/>
      <c r="E46" s="2846">
        <v>1</v>
      </c>
      <c r="F46" s="2843" t="s">
        <v>2492</v>
      </c>
      <c r="G46" s="2843"/>
    </row>
    <row r="47" spans="1:7" ht="19.5" customHeight="1">
      <c r="A47" s="3489"/>
      <c r="B47" s="3482"/>
      <c r="C47" s="2844" t="s">
        <v>2493</v>
      </c>
      <c r="D47" s="2845"/>
      <c r="E47" s="2846">
        <v>1</v>
      </c>
      <c r="F47" s="2843" t="s">
        <v>2494</v>
      </c>
      <c r="G47" s="2843"/>
    </row>
    <row r="48" spans="1:7" ht="19.5" customHeight="1">
      <c r="A48" s="3489"/>
      <c r="B48" s="3482"/>
      <c r="C48" s="2844" t="s">
        <v>2495</v>
      </c>
      <c r="D48" s="2845"/>
      <c r="E48" s="2846">
        <v>1</v>
      </c>
      <c r="F48" s="2843" t="s">
        <v>2496</v>
      </c>
      <c r="G48" s="2843"/>
    </row>
    <row r="49" spans="1:7" ht="19.5" customHeight="1">
      <c r="A49" s="3489"/>
      <c r="B49" s="3482"/>
      <c r="C49" s="2844" t="s">
        <v>2497</v>
      </c>
      <c r="D49" s="2845"/>
      <c r="E49" s="2846">
        <v>1</v>
      </c>
      <c r="F49" s="2843" t="s">
        <v>2498</v>
      </c>
      <c r="G49" s="2843"/>
    </row>
    <row r="50" spans="1:7" ht="19.5" customHeight="1">
      <c r="A50" s="3489"/>
      <c r="B50" s="3482"/>
      <c r="C50" s="2844" t="s">
        <v>2499</v>
      </c>
      <c r="D50" s="2845"/>
      <c r="E50" s="2846">
        <v>1</v>
      </c>
      <c r="F50" s="2843" t="s">
        <v>2500</v>
      </c>
      <c r="G50" s="2843"/>
    </row>
    <row r="51" spans="1:7" ht="19.5" customHeight="1" thickBot="1">
      <c r="A51" s="3490"/>
      <c r="B51" s="3484"/>
      <c r="C51" s="2847" t="s">
        <v>2501</v>
      </c>
      <c r="D51" s="2848"/>
      <c r="E51" s="2849">
        <v>1</v>
      </c>
      <c r="F51" s="2843" t="s">
        <v>2502</v>
      </c>
      <c r="G51" s="2843"/>
    </row>
    <row r="52" spans="1:7" ht="19.5" customHeight="1">
      <c r="A52" s="2856"/>
      <c r="B52" s="2856"/>
      <c r="C52" s="2856"/>
      <c r="D52" s="2856"/>
      <c r="E52" s="2856"/>
      <c r="F52" s="2856"/>
      <c r="G52" s="2856"/>
    </row>
    <row r="54" spans="1:7" ht="19.5" customHeight="1">
      <c r="A54" s="2857"/>
      <c r="B54" s="2829" t="s">
        <v>2641</v>
      </c>
      <c r="C54" s="2829" t="s">
        <v>2641</v>
      </c>
      <c r="D54" s="2829" t="s">
        <v>2641</v>
      </c>
      <c r="E54" s="2832" t="s">
        <v>2641</v>
      </c>
      <c r="F54" s="2832" t="s">
        <v>2642</v>
      </c>
      <c r="G54" s="2832" t="s">
        <v>2643</v>
      </c>
    </row>
    <row r="55" spans="1:7" ht="19.5" customHeight="1">
      <c r="A55" s="2858"/>
      <c r="B55" s="2832" t="s">
        <v>2610</v>
      </c>
      <c r="C55" s="2832" t="s">
        <v>2610</v>
      </c>
      <c r="D55" s="2832" t="s">
        <v>2610</v>
      </c>
      <c r="E55" s="2829" t="s">
        <v>2611</v>
      </c>
      <c r="F55" s="2829" t="s">
        <v>2613</v>
      </c>
      <c r="G55" s="2829" t="s">
        <v>2644</v>
      </c>
    </row>
    <row r="56" spans="1:7" ht="19.5" customHeight="1">
      <c r="A56" s="2859"/>
      <c r="B56" s="2829">
        <v>1</v>
      </c>
      <c r="C56" s="2829">
        <v>2</v>
      </c>
      <c r="D56" s="2829">
        <v>3</v>
      </c>
      <c r="E56" s="2860" t="s">
        <v>2645</v>
      </c>
      <c r="F56" s="2860" t="s">
        <v>2645</v>
      </c>
      <c r="G56" s="2860" t="s">
        <v>2645</v>
      </c>
    </row>
    <row r="57" spans="1:7" ht="19.5" customHeight="1">
      <c r="A57" s="2861" t="s">
        <v>2598</v>
      </c>
      <c r="B57" s="2829">
        <v>0.7</v>
      </c>
      <c r="C57" s="2829">
        <v>0.4</v>
      </c>
      <c r="D57" s="2829">
        <v>0.3</v>
      </c>
      <c r="E57" s="2860">
        <v>0.3</v>
      </c>
      <c r="F57" s="2829">
        <v>0.3</v>
      </c>
      <c r="G57" s="2829">
        <v>0.2</v>
      </c>
    </row>
    <row r="58" spans="1:7" ht="19.5" customHeight="1">
      <c r="A58" s="2861" t="s">
        <v>2599</v>
      </c>
      <c r="B58" s="2829">
        <v>0.7</v>
      </c>
      <c r="C58" s="2829">
        <v>0.4</v>
      </c>
      <c r="D58" s="2829">
        <v>0.3</v>
      </c>
      <c r="E58" s="2829">
        <v>0.3</v>
      </c>
      <c r="F58" s="2829">
        <v>0.3</v>
      </c>
      <c r="G58" s="2829">
        <v>0.2</v>
      </c>
    </row>
    <row r="59" spans="1:7" ht="19.5" customHeight="1">
      <c r="A59" s="2861" t="s">
        <v>2600</v>
      </c>
      <c r="B59" s="2829">
        <v>0.6</v>
      </c>
      <c r="C59" s="2829">
        <v>0.3</v>
      </c>
      <c r="D59" s="2829">
        <v>0.25</v>
      </c>
      <c r="E59" s="2829">
        <v>0.25</v>
      </c>
      <c r="F59" s="2829">
        <v>0.25</v>
      </c>
      <c r="G59" s="2829">
        <v>0.15</v>
      </c>
    </row>
    <row r="60" spans="1:7" ht="19.5" customHeight="1">
      <c r="A60" s="2861" t="s">
        <v>2601</v>
      </c>
      <c r="B60" s="2829">
        <v>0.6</v>
      </c>
      <c r="C60" s="2829">
        <v>0.3</v>
      </c>
      <c r="D60" s="2829">
        <v>0.25</v>
      </c>
      <c r="E60" s="2829">
        <v>0.25</v>
      </c>
      <c r="F60" s="2829">
        <v>0.25</v>
      </c>
      <c r="G60" s="2829">
        <v>0.15</v>
      </c>
    </row>
    <row r="61" spans="1:7" ht="19.5" customHeight="1">
      <c r="A61" s="2861" t="s">
        <v>2602</v>
      </c>
      <c r="B61" s="2829">
        <v>0.6</v>
      </c>
      <c r="C61" s="2829">
        <v>0.3</v>
      </c>
      <c r="D61" s="2829">
        <v>0.25</v>
      </c>
      <c r="E61" s="2829">
        <v>0.25</v>
      </c>
      <c r="F61" s="2829">
        <v>0.25</v>
      </c>
      <c r="G61" s="2829">
        <v>0.15</v>
      </c>
    </row>
    <row r="62" spans="1:7" ht="19.5" customHeight="1">
      <c r="A62" s="2861" t="s">
        <v>2603</v>
      </c>
      <c r="B62" s="2829">
        <v>0.6</v>
      </c>
      <c r="C62" s="2829">
        <v>0.3</v>
      </c>
      <c r="D62" s="2829">
        <v>0.25</v>
      </c>
      <c r="E62" s="2829">
        <v>0.25</v>
      </c>
      <c r="F62" s="2829">
        <v>0.25</v>
      </c>
      <c r="G62" s="2829">
        <v>0.15</v>
      </c>
    </row>
    <row r="63" spans="1:7" ht="19.5" customHeight="1">
      <c r="A63" s="2861" t="s">
        <v>2604</v>
      </c>
      <c r="B63" s="2829">
        <v>0.6</v>
      </c>
      <c r="C63" s="2829">
        <v>0.3</v>
      </c>
      <c r="D63" s="2829">
        <v>0.25</v>
      </c>
      <c r="E63" s="2829">
        <v>0.25</v>
      </c>
      <c r="F63" s="2829">
        <v>0.25</v>
      </c>
      <c r="G63" s="2829">
        <v>0.15</v>
      </c>
    </row>
    <row r="64" spans="1:7" ht="19.5" customHeight="1">
      <c r="A64" s="2861" t="s">
        <v>2605</v>
      </c>
      <c r="B64" s="2829">
        <v>0.5</v>
      </c>
      <c r="C64" s="2829">
        <v>0.2</v>
      </c>
      <c r="D64" s="2829">
        <v>0.2</v>
      </c>
      <c r="E64" s="2829">
        <v>0.2</v>
      </c>
      <c r="F64" s="2829">
        <v>0.2</v>
      </c>
      <c r="G64" s="2829">
        <v>0.1</v>
      </c>
    </row>
    <row r="65" spans="1:7" ht="19.5" customHeight="1">
      <c r="A65" s="2861" t="s">
        <v>2606</v>
      </c>
      <c r="B65" s="2829">
        <v>0.5</v>
      </c>
      <c r="C65" s="2829">
        <v>0.2</v>
      </c>
      <c r="D65" s="2829">
        <v>0.2</v>
      </c>
      <c r="E65" s="2829">
        <v>0.2</v>
      </c>
      <c r="F65" s="2829">
        <v>0.2</v>
      </c>
      <c r="G65" s="2829">
        <v>0.1</v>
      </c>
    </row>
    <row r="66" spans="1:7" ht="19.5" customHeight="1">
      <c r="A66" s="2861" t="s">
        <v>2607</v>
      </c>
      <c r="B66" s="2829">
        <v>0.5</v>
      </c>
      <c r="C66" s="2829">
        <v>0.2</v>
      </c>
      <c r="D66" s="2829">
        <v>0.2</v>
      </c>
      <c r="E66" s="2829">
        <v>0.2</v>
      </c>
      <c r="F66" s="2829">
        <v>0.2</v>
      </c>
      <c r="G66" s="2829">
        <v>0.1</v>
      </c>
    </row>
    <row r="67" spans="1:7" ht="19.5" customHeight="1">
      <c r="A67" s="2861" t="s">
        <v>2608</v>
      </c>
      <c r="B67" s="2829">
        <v>0.5</v>
      </c>
      <c r="C67" s="2829">
        <v>0.2</v>
      </c>
      <c r="D67" s="2829">
        <v>0.2</v>
      </c>
      <c r="E67" s="2829">
        <v>0.2</v>
      </c>
      <c r="F67" s="2829">
        <v>0.2</v>
      </c>
      <c r="G67" s="2829">
        <v>0.1</v>
      </c>
    </row>
    <row r="68" spans="1:7" ht="19.5" customHeight="1">
      <c r="A68" s="2861" t="s">
        <v>2609</v>
      </c>
      <c r="B68" s="2829">
        <v>0.5</v>
      </c>
      <c r="C68" s="2829">
        <v>0.2</v>
      </c>
      <c r="D68" s="2829">
        <v>0.2</v>
      </c>
      <c r="E68" s="2829">
        <v>0.2</v>
      </c>
      <c r="F68" s="2829">
        <v>0.2</v>
      </c>
      <c r="G68" s="2829">
        <v>0.1</v>
      </c>
    </row>
    <row r="70" spans="1:7" ht="19.5" customHeight="1">
      <c r="A70" s="2843"/>
      <c r="B70" s="2862"/>
      <c r="C70" s="2862"/>
      <c r="D70" s="2862" t="s">
        <v>2646</v>
      </c>
      <c r="E70" s="2862"/>
      <c r="F70" s="2862"/>
    </row>
    <row r="71" spans="1:7" ht="19.5" customHeight="1">
      <c r="A71" s="2855" t="s">
        <v>2647</v>
      </c>
      <c r="B71" s="2855" t="s">
        <v>2648</v>
      </c>
      <c r="C71" s="2855" t="s">
        <v>2649</v>
      </c>
      <c r="D71" s="2855" t="s">
        <v>2650</v>
      </c>
      <c r="E71" s="2855" t="s">
        <v>2651</v>
      </c>
      <c r="F71" s="2855" t="s">
        <v>2652</v>
      </c>
    </row>
    <row r="72" spans="1:7" ht="13.5">
      <c r="A72" s="2855"/>
      <c r="B72" s="2855"/>
      <c r="C72" s="2855" t="s">
        <v>2653</v>
      </c>
      <c r="D72" s="2855"/>
      <c r="E72" s="2855" t="s">
        <v>2624</v>
      </c>
      <c r="F72" s="2855" t="s">
        <v>2624</v>
      </c>
    </row>
    <row r="73" spans="1:7" ht="13.5">
      <c r="A73" s="2855">
        <v>1</v>
      </c>
      <c r="B73" s="3480" t="s">
        <v>2654</v>
      </c>
      <c r="C73" s="2829" t="s">
        <v>2655</v>
      </c>
      <c r="D73" s="2829" t="s">
        <v>2656</v>
      </c>
      <c r="E73" s="2855">
        <v>0.2</v>
      </c>
      <c r="F73" s="2855">
        <v>25</v>
      </c>
    </row>
    <row r="74" spans="1:7" ht="24">
      <c r="A74" s="2855">
        <v>2</v>
      </c>
      <c r="B74" s="3482"/>
      <c r="C74" s="2829" t="s">
        <v>2657</v>
      </c>
      <c r="D74" s="2829" t="s">
        <v>2658</v>
      </c>
      <c r="E74" s="2855">
        <v>0.2</v>
      </c>
      <c r="F74" s="2855">
        <v>25</v>
      </c>
    </row>
    <row r="75" spans="1:7" ht="24">
      <c r="A75" s="2855">
        <v>3</v>
      </c>
      <c r="B75" s="3482"/>
      <c r="C75" s="2829" t="s">
        <v>2659</v>
      </c>
      <c r="D75" s="2829" t="s">
        <v>2660</v>
      </c>
      <c r="E75" s="2855">
        <v>0.2</v>
      </c>
      <c r="F75" s="2855">
        <v>25</v>
      </c>
    </row>
    <row r="76" spans="1:7" ht="13.5">
      <c r="A76" s="2855">
        <v>4</v>
      </c>
      <c r="B76" s="3482"/>
      <c r="C76" s="2829" t="s">
        <v>2661</v>
      </c>
      <c r="D76" s="2829" t="s">
        <v>2662</v>
      </c>
      <c r="E76" s="2855">
        <v>0.15</v>
      </c>
      <c r="F76" s="2855">
        <v>20</v>
      </c>
    </row>
    <row r="77" spans="1:7" ht="24">
      <c r="A77" s="2855">
        <v>5</v>
      </c>
      <c r="B77" s="3482"/>
      <c r="C77" s="2829" t="s">
        <v>2663</v>
      </c>
      <c r="D77" s="2829" t="s">
        <v>2664</v>
      </c>
      <c r="E77" s="2855">
        <v>0.15</v>
      </c>
      <c r="F77" s="2855">
        <v>20</v>
      </c>
    </row>
    <row r="78" spans="1:7" ht="24">
      <c r="A78" s="2855">
        <v>6</v>
      </c>
      <c r="B78" s="3482"/>
      <c r="C78" s="2829" t="s">
        <v>2665</v>
      </c>
      <c r="D78" s="2829" t="s">
        <v>2666</v>
      </c>
      <c r="E78" s="2855">
        <v>0.15</v>
      </c>
      <c r="F78" s="2855">
        <v>20</v>
      </c>
    </row>
    <row r="79" spans="1:7" ht="24">
      <c r="A79" s="2855">
        <v>7</v>
      </c>
      <c r="B79" s="3482"/>
      <c r="C79" s="2829" t="s">
        <v>2667</v>
      </c>
      <c r="D79" s="2829" t="s">
        <v>2668</v>
      </c>
      <c r="E79" s="2855">
        <v>0.15</v>
      </c>
      <c r="F79" s="2855">
        <v>20</v>
      </c>
    </row>
    <row r="80" spans="1:7" ht="24">
      <c r="A80" s="2855">
        <v>8</v>
      </c>
      <c r="B80" s="3482"/>
      <c r="C80" s="2829" t="s">
        <v>2669</v>
      </c>
      <c r="D80" s="2829" t="s">
        <v>2670</v>
      </c>
      <c r="E80" s="2855">
        <v>0.1</v>
      </c>
      <c r="F80" s="2855">
        <v>15</v>
      </c>
    </row>
    <row r="81" spans="1:6" ht="24">
      <c r="A81" s="2855">
        <v>9</v>
      </c>
      <c r="B81" s="3482"/>
      <c r="C81" s="2829" t="s">
        <v>2671</v>
      </c>
      <c r="D81" s="2829" t="s">
        <v>2672</v>
      </c>
      <c r="E81" s="2855">
        <v>0.1</v>
      </c>
      <c r="F81" s="2855">
        <v>15</v>
      </c>
    </row>
    <row r="82" spans="1:6" ht="24">
      <c r="A82" s="2855">
        <v>10</v>
      </c>
      <c r="B82" s="3482"/>
      <c r="C82" s="2829" t="s">
        <v>2673</v>
      </c>
      <c r="D82" s="2829" t="s">
        <v>2674</v>
      </c>
      <c r="E82" s="2855">
        <v>0.1</v>
      </c>
      <c r="F82" s="2855">
        <v>15</v>
      </c>
    </row>
    <row r="83" spans="1:6" ht="24">
      <c r="A83" s="2855">
        <v>11</v>
      </c>
      <c r="B83" s="3482"/>
      <c r="C83" s="2829" t="s">
        <v>2675</v>
      </c>
      <c r="D83" s="2829" t="s">
        <v>2676</v>
      </c>
      <c r="E83" s="2855">
        <v>0.1</v>
      </c>
      <c r="F83" s="2855">
        <v>15</v>
      </c>
    </row>
    <row r="84" spans="1:6" ht="24">
      <c r="A84" s="2855">
        <v>12</v>
      </c>
      <c r="B84" s="3482"/>
      <c r="C84" s="2829" t="s">
        <v>2677</v>
      </c>
      <c r="D84" s="2829" t="s">
        <v>2678</v>
      </c>
      <c r="E84" s="2855">
        <v>0.1</v>
      </c>
      <c r="F84" s="2855">
        <v>15</v>
      </c>
    </row>
    <row r="85" spans="1:6" ht="13.5">
      <c r="A85" s="2855">
        <v>13</v>
      </c>
      <c r="B85" s="3482"/>
      <c r="C85" s="2829" t="s">
        <v>2679</v>
      </c>
      <c r="D85" s="2829" t="s">
        <v>2680</v>
      </c>
      <c r="E85" s="2855">
        <v>0.1</v>
      </c>
      <c r="F85" s="2855">
        <v>15</v>
      </c>
    </row>
    <row r="86" spans="1:6" ht="13.5">
      <c r="A86" s="2855">
        <v>14</v>
      </c>
      <c r="B86" s="3482"/>
      <c r="C86" s="2829" t="s">
        <v>2681</v>
      </c>
      <c r="D86" s="2829" t="s">
        <v>2682</v>
      </c>
      <c r="E86" s="2855">
        <v>0.1</v>
      </c>
      <c r="F86" s="2855">
        <v>15</v>
      </c>
    </row>
    <row r="87" spans="1:6" ht="13.5">
      <c r="A87" s="2855">
        <v>15</v>
      </c>
      <c r="B87" s="3482"/>
      <c r="C87" s="2829" t="s">
        <v>2683</v>
      </c>
      <c r="D87" s="2829" t="s">
        <v>2684</v>
      </c>
      <c r="E87" s="2855">
        <v>0.1</v>
      </c>
      <c r="F87" s="2855">
        <v>15</v>
      </c>
    </row>
    <row r="88" spans="1:6" ht="24">
      <c r="A88" s="2855">
        <v>16</v>
      </c>
      <c r="B88" s="3482"/>
      <c r="C88" s="2829" t="s">
        <v>2685</v>
      </c>
      <c r="D88" s="2829" t="s">
        <v>2686</v>
      </c>
      <c r="E88" s="2855">
        <v>0.1</v>
      </c>
      <c r="F88" s="2855">
        <v>15</v>
      </c>
    </row>
    <row r="89" spans="1:6" ht="24">
      <c r="A89" s="2855">
        <v>17</v>
      </c>
      <c r="B89" s="3481"/>
      <c r="C89" s="2829" t="s">
        <v>2687</v>
      </c>
      <c r="D89" s="2829" t="s">
        <v>2688</v>
      </c>
      <c r="E89" s="2855">
        <v>0.1</v>
      </c>
      <c r="F89" s="2855">
        <v>15</v>
      </c>
    </row>
    <row r="90" spans="1:6" ht="13.5">
      <c r="A90" s="2855">
        <v>18</v>
      </c>
      <c r="B90" s="3480" t="s">
        <v>2689</v>
      </c>
      <c r="C90" s="2829" t="s">
        <v>2690</v>
      </c>
      <c r="D90" s="2829" t="s">
        <v>2691</v>
      </c>
      <c r="E90" s="2855">
        <v>0.2</v>
      </c>
      <c r="F90" s="2855">
        <v>25</v>
      </c>
    </row>
    <row r="91" spans="1:6" ht="24">
      <c r="A91" s="2855">
        <v>19</v>
      </c>
      <c r="B91" s="3482"/>
      <c r="C91" s="2829" t="s">
        <v>2692</v>
      </c>
      <c r="D91" s="2829" t="s">
        <v>2693</v>
      </c>
      <c r="E91" s="2855">
        <v>0.2</v>
      </c>
      <c r="F91" s="2855">
        <v>25</v>
      </c>
    </row>
    <row r="92" spans="1:6" ht="13.5">
      <c r="A92" s="2855">
        <v>20</v>
      </c>
      <c r="B92" s="3482"/>
      <c r="C92" s="2829" t="s">
        <v>2694</v>
      </c>
      <c r="D92" s="2829" t="s">
        <v>2695</v>
      </c>
      <c r="E92" s="2855">
        <v>0.15</v>
      </c>
      <c r="F92" s="2855">
        <v>20</v>
      </c>
    </row>
    <row r="93" spans="1:6" ht="13.5">
      <c r="A93" s="2855">
        <v>21</v>
      </c>
      <c r="B93" s="3482"/>
      <c r="C93" s="2829" t="s">
        <v>2696</v>
      </c>
      <c r="D93" s="2829" t="s">
        <v>2697</v>
      </c>
      <c r="E93" s="2855">
        <v>0.15</v>
      </c>
      <c r="F93" s="2855">
        <v>20</v>
      </c>
    </row>
    <row r="94" spans="1:6" ht="13.5">
      <c r="A94" s="2855">
        <v>22</v>
      </c>
      <c r="B94" s="3482"/>
      <c r="C94" s="2829" t="s">
        <v>2698</v>
      </c>
      <c r="D94" s="2829" t="s">
        <v>2699</v>
      </c>
      <c r="E94" s="2855">
        <v>0.15</v>
      </c>
      <c r="F94" s="2855">
        <v>20</v>
      </c>
    </row>
    <row r="95" spans="1:6" ht="36">
      <c r="A95" s="2855">
        <v>23</v>
      </c>
      <c r="B95" s="3482"/>
      <c r="C95" s="2829" t="s">
        <v>2700</v>
      </c>
      <c r="D95" s="2829" t="s">
        <v>2701</v>
      </c>
      <c r="E95" s="2855">
        <v>0.15</v>
      </c>
      <c r="F95" s="2855">
        <v>20</v>
      </c>
    </row>
    <row r="96" spans="1:6" ht="13.5">
      <c r="A96" s="2855">
        <v>24</v>
      </c>
      <c r="B96" s="3482"/>
      <c r="C96" s="2829" t="s">
        <v>2702</v>
      </c>
      <c r="D96" s="2829" t="s">
        <v>2703</v>
      </c>
      <c r="E96" s="2855">
        <v>0.1</v>
      </c>
      <c r="F96" s="2855">
        <v>15</v>
      </c>
    </row>
    <row r="97" spans="1:6" ht="13.5">
      <c r="A97" s="2855">
        <v>25</v>
      </c>
      <c r="B97" s="3482"/>
      <c r="C97" s="2829" t="s">
        <v>2704</v>
      </c>
      <c r="D97" s="2829" t="s">
        <v>2705</v>
      </c>
      <c r="E97" s="2855">
        <v>0.1</v>
      </c>
      <c r="F97" s="2855">
        <v>15</v>
      </c>
    </row>
    <row r="98" spans="1:6" ht="24">
      <c r="A98" s="2855">
        <v>26</v>
      </c>
      <c r="B98" s="3482"/>
      <c r="C98" s="2829" t="s">
        <v>2706</v>
      </c>
      <c r="D98" s="2829" t="s">
        <v>2707</v>
      </c>
      <c r="E98" s="2855">
        <v>0.1</v>
      </c>
      <c r="F98" s="2855">
        <v>15</v>
      </c>
    </row>
    <row r="99" spans="1:6" ht="24">
      <c r="A99" s="2855">
        <v>27</v>
      </c>
      <c r="B99" s="3482"/>
      <c r="C99" s="2829" t="s">
        <v>2708</v>
      </c>
      <c r="D99" s="2829" t="s">
        <v>2709</v>
      </c>
      <c r="E99" s="2855">
        <v>0.1</v>
      </c>
      <c r="F99" s="2855">
        <v>15</v>
      </c>
    </row>
    <row r="100" spans="1:6" ht="13.5">
      <c r="A100" s="2855">
        <v>28</v>
      </c>
      <c r="B100" s="3482"/>
      <c r="C100" s="2829" t="s">
        <v>2710</v>
      </c>
      <c r="D100" s="2829" t="s">
        <v>2711</v>
      </c>
      <c r="E100" s="2855">
        <v>0.1</v>
      </c>
      <c r="F100" s="2855">
        <v>15</v>
      </c>
    </row>
    <row r="101" spans="1:6" ht="13.5">
      <c r="A101" s="2855">
        <v>29</v>
      </c>
      <c r="B101" s="3482"/>
      <c r="C101" s="2829" t="s">
        <v>2712</v>
      </c>
      <c r="D101" s="2829" t="s">
        <v>2713</v>
      </c>
      <c r="E101" s="2855">
        <v>0.1</v>
      </c>
      <c r="F101" s="2855">
        <v>15</v>
      </c>
    </row>
    <row r="102" spans="1:6" ht="13.5">
      <c r="A102" s="2855">
        <v>30</v>
      </c>
      <c r="B102" s="3482"/>
      <c r="C102" s="2829" t="s">
        <v>2714</v>
      </c>
      <c r="D102" s="2829" t="s">
        <v>2715</v>
      </c>
      <c r="E102" s="2855">
        <v>0.1</v>
      </c>
      <c r="F102" s="2855">
        <v>15</v>
      </c>
    </row>
    <row r="103" spans="1:6" ht="24">
      <c r="A103" s="2855">
        <v>31</v>
      </c>
      <c r="B103" s="3482"/>
      <c r="C103" s="2829" t="s">
        <v>2716</v>
      </c>
      <c r="D103" s="2829" t="s">
        <v>2717</v>
      </c>
      <c r="E103" s="2855">
        <v>0.1</v>
      </c>
      <c r="F103" s="2855">
        <v>15</v>
      </c>
    </row>
    <row r="104" spans="1:6" ht="24">
      <c r="A104" s="2855">
        <v>32</v>
      </c>
      <c r="B104" s="3482"/>
      <c r="C104" s="2829" t="s">
        <v>2718</v>
      </c>
      <c r="D104" s="2829" t="s">
        <v>2719</v>
      </c>
      <c r="E104" s="2855">
        <v>0.1</v>
      </c>
      <c r="F104" s="2855">
        <v>15</v>
      </c>
    </row>
    <row r="105" spans="1:6" ht="24">
      <c r="A105" s="2855">
        <v>33</v>
      </c>
      <c r="B105" s="3482"/>
      <c r="C105" s="2829" t="s">
        <v>2720</v>
      </c>
      <c r="D105" s="2829" t="s">
        <v>2721</v>
      </c>
      <c r="E105" s="2855">
        <v>0.1</v>
      </c>
      <c r="F105" s="2855">
        <v>15</v>
      </c>
    </row>
    <row r="106" spans="1:6" ht="24">
      <c r="A106" s="2855">
        <v>34</v>
      </c>
      <c r="B106" s="3481"/>
      <c r="C106" s="2829" t="s">
        <v>2722</v>
      </c>
      <c r="D106" s="2829" t="s">
        <v>2723</v>
      </c>
      <c r="E106" s="2855">
        <v>0.1</v>
      </c>
      <c r="F106" s="2855">
        <v>15</v>
      </c>
    </row>
    <row r="107" spans="1:6" ht="24">
      <c r="A107" s="2855">
        <v>35</v>
      </c>
      <c r="B107" s="3480" t="s">
        <v>2724</v>
      </c>
      <c r="C107" s="2855" t="s">
        <v>2725</v>
      </c>
      <c r="D107" s="2829" t="s">
        <v>2726</v>
      </c>
      <c r="E107" s="2855">
        <v>0.15</v>
      </c>
      <c r="F107" s="2855">
        <v>20</v>
      </c>
    </row>
    <row r="108" spans="1:6" ht="13.5">
      <c r="A108" s="2855">
        <v>36</v>
      </c>
      <c r="B108" s="3482"/>
      <c r="C108" s="2855" t="s">
        <v>2727</v>
      </c>
      <c r="D108" s="2829" t="s">
        <v>2728</v>
      </c>
      <c r="E108" s="2855">
        <v>0.15</v>
      </c>
      <c r="F108" s="2855">
        <v>20</v>
      </c>
    </row>
    <row r="109" spans="1:6" ht="13.5">
      <c r="A109" s="2855">
        <v>37</v>
      </c>
      <c r="B109" s="3482"/>
      <c r="C109" s="2855" t="s">
        <v>2729</v>
      </c>
      <c r="D109" s="2829" t="s">
        <v>2730</v>
      </c>
      <c r="E109" s="2855">
        <v>0.15</v>
      </c>
      <c r="F109" s="2855">
        <v>20</v>
      </c>
    </row>
    <row r="110" spans="1:6" ht="13.5">
      <c r="A110" s="2855">
        <v>38</v>
      </c>
      <c r="B110" s="3482"/>
      <c r="C110" s="2855" t="s">
        <v>2731</v>
      </c>
      <c r="D110" s="2829" t="s">
        <v>2732</v>
      </c>
      <c r="E110" s="2855">
        <v>0.1</v>
      </c>
      <c r="F110" s="2855">
        <v>15</v>
      </c>
    </row>
    <row r="111" spans="1:6" ht="24">
      <c r="A111" s="2855">
        <v>39</v>
      </c>
      <c r="B111" s="3482"/>
      <c r="C111" s="2855" t="s">
        <v>2733</v>
      </c>
      <c r="D111" s="2829" t="s">
        <v>2734</v>
      </c>
      <c r="E111" s="2855">
        <v>0.1</v>
      </c>
      <c r="F111" s="2855">
        <v>15</v>
      </c>
    </row>
    <row r="112" spans="1:6" ht="24">
      <c r="A112" s="2855">
        <v>40</v>
      </c>
      <c r="B112" s="3481"/>
      <c r="C112" s="2855" t="s">
        <v>2735</v>
      </c>
      <c r="D112" s="2829" t="s">
        <v>2736</v>
      </c>
      <c r="E112" s="2855">
        <v>0.1</v>
      </c>
      <c r="F112" s="2855">
        <v>15</v>
      </c>
    </row>
    <row r="113" spans="1:6" ht="13.5">
      <c r="A113" s="2855">
        <v>41</v>
      </c>
      <c r="B113" s="3479" t="s">
        <v>2737</v>
      </c>
      <c r="C113" s="2855" t="s">
        <v>2738</v>
      </c>
      <c r="D113" s="2829" t="s">
        <v>2739</v>
      </c>
      <c r="E113" s="2855">
        <v>0.1</v>
      </c>
      <c r="F113" s="2855">
        <v>15</v>
      </c>
    </row>
    <row r="114" spans="1:6" ht="13.5">
      <c r="A114" s="2855">
        <v>42</v>
      </c>
      <c r="B114" s="3479"/>
      <c r="C114" s="2855" t="s">
        <v>2740</v>
      </c>
      <c r="D114" s="2829" t="s">
        <v>2741</v>
      </c>
      <c r="E114" s="2855">
        <v>0.1</v>
      </c>
      <c r="F114" s="2855">
        <v>15</v>
      </c>
    </row>
    <row r="115" spans="1:6" ht="24">
      <c r="A115" s="2855">
        <v>43</v>
      </c>
      <c r="B115" s="3479"/>
      <c r="C115" s="2855" t="s">
        <v>2742</v>
      </c>
      <c r="D115" s="2829" t="s">
        <v>2743</v>
      </c>
      <c r="E115" s="2855">
        <v>0.1</v>
      </c>
      <c r="F115" s="2855">
        <v>15</v>
      </c>
    </row>
    <row r="116" spans="1:6" ht="13.5">
      <c r="A116" s="2855">
        <v>44</v>
      </c>
      <c r="B116" s="3480" t="s">
        <v>2744</v>
      </c>
      <c r="C116" s="2855" t="s">
        <v>2745</v>
      </c>
      <c r="D116" s="2829" t="s">
        <v>2746</v>
      </c>
      <c r="E116" s="2855">
        <v>0.1</v>
      </c>
      <c r="F116" s="2855">
        <v>15</v>
      </c>
    </row>
    <row r="117" spans="1:6" ht="24">
      <c r="A117" s="2855">
        <v>45</v>
      </c>
      <c r="B117" s="3481"/>
      <c r="C117" s="2829" t="s">
        <v>2747</v>
      </c>
      <c r="D117" s="2829" t="s">
        <v>2748</v>
      </c>
      <c r="E117" s="2855">
        <v>0.1</v>
      </c>
      <c r="F117" s="2855">
        <v>15</v>
      </c>
    </row>
    <row r="118" spans="1:6" ht="24">
      <c r="A118" s="2855">
        <v>46</v>
      </c>
      <c r="B118" s="3480" t="s">
        <v>2749</v>
      </c>
      <c r="C118" s="2855" t="s">
        <v>2750</v>
      </c>
      <c r="D118" s="2829" t="s">
        <v>2751</v>
      </c>
      <c r="E118" s="2855">
        <v>0.1</v>
      </c>
      <c r="F118" s="2855">
        <v>15</v>
      </c>
    </row>
    <row r="119" spans="1:6" ht="24">
      <c r="A119" s="2855">
        <v>47</v>
      </c>
      <c r="B119" s="3481"/>
      <c r="C119" s="2855" t="s">
        <v>2752</v>
      </c>
      <c r="D119" s="2829" t="s">
        <v>2753</v>
      </c>
      <c r="E119" s="2855">
        <v>0.1</v>
      </c>
      <c r="F119" s="2855">
        <v>15</v>
      </c>
    </row>
    <row r="120" spans="1:6" ht="13.5">
      <c r="A120" s="2855">
        <v>48</v>
      </c>
      <c r="B120" s="3480" t="s">
        <v>2754</v>
      </c>
      <c r="C120" s="2855" t="s">
        <v>2755</v>
      </c>
      <c r="D120" s="2829" t="s">
        <v>2756</v>
      </c>
      <c r="E120" s="2855">
        <v>0.1</v>
      </c>
      <c r="F120" s="2855">
        <v>15</v>
      </c>
    </row>
    <row r="121" spans="1:6" ht="13.5">
      <c r="A121" s="2855">
        <v>49</v>
      </c>
      <c r="B121" s="3481"/>
      <c r="C121" s="2855" t="s">
        <v>2757</v>
      </c>
      <c r="D121" s="2829" t="s">
        <v>2758</v>
      </c>
      <c r="E121" s="2855">
        <v>0.1</v>
      </c>
      <c r="F121" s="2855">
        <v>15</v>
      </c>
    </row>
    <row r="122" spans="1:6" ht="24">
      <c r="A122" s="2855">
        <v>50</v>
      </c>
      <c r="B122" s="3479" t="s">
        <v>2759</v>
      </c>
      <c r="C122" s="2855" t="s">
        <v>2760</v>
      </c>
      <c r="D122" s="2829" t="s">
        <v>2761</v>
      </c>
      <c r="E122" s="2855">
        <v>0.1</v>
      </c>
      <c r="F122" s="2855">
        <v>15</v>
      </c>
    </row>
    <row r="123" spans="1:6" ht="24">
      <c r="A123" s="2855">
        <v>51</v>
      </c>
      <c r="B123" s="3479"/>
      <c r="C123" s="2855" t="s">
        <v>2762</v>
      </c>
      <c r="D123" s="2829" t="s">
        <v>2763</v>
      </c>
      <c r="E123" s="2855">
        <v>0.1</v>
      </c>
      <c r="F123" s="2855">
        <v>15</v>
      </c>
    </row>
    <row r="124" spans="1:6" ht="24">
      <c r="A124" s="2855">
        <v>52</v>
      </c>
      <c r="B124" s="3479" t="s">
        <v>2764</v>
      </c>
      <c r="C124" s="2855" t="s">
        <v>2765</v>
      </c>
      <c r="D124" s="2829" t="s">
        <v>2766</v>
      </c>
      <c r="E124" s="2855">
        <v>0.1</v>
      </c>
      <c r="F124" s="2855">
        <v>15</v>
      </c>
    </row>
    <row r="125" spans="1:6" ht="24">
      <c r="A125" s="2855">
        <v>53</v>
      </c>
      <c r="B125" s="3479"/>
      <c r="C125" s="2855" t="s">
        <v>2767</v>
      </c>
      <c r="D125" s="2829" t="s">
        <v>2768</v>
      </c>
      <c r="E125" s="2855">
        <v>0.1</v>
      </c>
      <c r="F125" s="2855">
        <v>15</v>
      </c>
    </row>
    <row r="126" spans="1:6" ht="13.5">
      <c r="A126" s="2855">
        <v>54</v>
      </c>
      <c r="B126" s="2855" t="s">
        <v>2769</v>
      </c>
      <c r="C126" s="2855" t="s">
        <v>2770</v>
      </c>
      <c r="D126" s="2829" t="s">
        <v>2771</v>
      </c>
      <c r="E126" s="2855">
        <v>0.1</v>
      </c>
      <c r="F126" s="2855">
        <v>15</v>
      </c>
    </row>
    <row r="127" spans="1:6" ht="13.5">
      <c r="A127" s="2855">
        <v>55</v>
      </c>
      <c r="B127" s="3479" t="s">
        <v>2772</v>
      </c>
      <c r="C127" s="2855" t="s">
        <v>2773</v>
      </c>
      <c r="D127" s="2829" t="s">
        <v>2774</v>
      </c>
      <c r="E127" s="2855">
        <v>0.1</v>
      </c>
      <c r="F127" s="2855">
        <v>15</v>
      </c>
    </row>
    <row r="128" spans="1:6" ht="13.5">
      <c r="A128" s="2855">
        <v>56</v>
      </c>
      <c r="B128" s="3479"/>
      <c r="C128" s="2855" t="s">
        <v>2775</v>
      </c>
      <c r="D128" s="2829" t="s">
        <v>2776</v>
      </c>
      <c r="E128" s="2855">
        <v>0.1</v>
      </c>
      <c r="F128" s="2855">
        <v>15</v>
      </c>
    </row>
    <row r="129" spans="1:6" ht="24">
      <c r="A129" s="2855">
        <v>57</v>
      </c>
      <c r="B129" s="3479"/>
      <c r="C129" s="2855" t="s">
        <v>2777</v>
      </c>
      <c r="D129" s="2829" t="s">
        <v>2778</v>
      </c>
      <c r="E129" s="2855">
        <v>0.1</v>
      </c>
      <c r="F129" s="2855">
        <v>15</v>
      </c>
    </row>
    <row r="130" spans="1:6" ht="24">
      <c r="A130" s="2855">
        <v>58</v>
      </c>
      <c r="B130" s="3479" t="s">
        <v>2779</v>
      </c>
      <c r="C130" s="2855" t="s">
        <v>2780</v>
      </c>
      <c r="D130" s="2829" t="s">
        <v>2781</v>
      </c>
      <c r="E130" s="2855">
        <v>0.1</v>
      </c>
      <c r="F130" s="2855">
        <v>15</v>
      </c>
    </row>
    <row r="131" spans="1:6" ht="13.5">
      <c r="A131" s="2855">
        <v>59</v>
      </c>
      <c r="B131" s="3479"/>
      <c r="C131" s="2855" t="s">
        <v>2782</v>
      </c>
      <c r="D131" s="2829" t="s">
        <v>2783</v>
      </c>
      <c r="E131" s="2855">
        <v>0.1</v>
      </c>
      <c r="F131" s="2855">
        <v>15</v>
      </c>
    </row>
    <row r="132" spans="1:6" ht="13.5">
      <c r="A132" s="2855">
        <v>60</v>
      </c>
      <c r="B132" s="3480" t="s">
        <v>2784</v>
      </c>
      <c r="C132" s="2855" t="s">
        <v>2785</v>
      </c>
      <c r="D132" s="2829" t="s">
        <v>2786</v>
      </c>
      <c r="E132" s="2855">
        <v>0.1</v>
      </c>
      <c r="F132" s="2855">
        <v>15</v>
      </c>
    </row>
    <row r="133" spans="1:6" ht="13.5">
      <c r="A133" s="2855">
        <v>61</v>
      </c>
      <c r="B133" s="3481"/>
      <c r="C133" s="2855" t="s">
        <v>2787</v>
      </c>
      <c r="D133" s="2829" t="s">
        <v>2788</v>
      </c>
      <c r="E133" s="2855">
        <v>0.1</v>
      </c>
      <c r="F133" s="2855">
        <v>15</v>
      </c>
    </row>
    <row r="134" spans="1:6" ht="24">
      <c r="A134" s="2855">
        <v>62</v>
      </c>
      <c r="B134" s="2855" t="s">
        <v>2789</v>
      </c>
      <c r="C134" s="2855" t="s">
        <v>2790</v>
      </c>
      <c r="D134" s="2829" t="s">
        <v>2791</v>
      </c>
      <c r="E134" s="2855">
        <v>0.1</v>
      </c>
      <c r="F134" s="2855">
        <v>15</v>
      </c>
    </row>
    <row r="135" spans="1:6" ht="13.5">
      <c r="A135" s="2855">
        <v>63</v>
      </c>
      <c r="B135" s="3479" t="s">
        <v>2792</v>
      </c>
      <c r="C135" s="2855" t="s">
        <v>2793</v>
      </c>
      <c r="D135" s="2829" t="s">
        <v>2794</v>
      </c>
      <c r="E135" s="2855">
        <v>0.1</v>
      </c>
      <c r="F135" s="2855">
        <v>15</v>
      </c>
    </row>
    <row r="136" spans="1:6" ht="13.5">
      <c r="A136" s="2855">
        <v>64</v>
      </c>
      <c r="B136" s="3479"/>
      <c r="C136" s="2855" t="s">
        <v>2795</v>
      </c>
      <c r="D136" s="2829" t="s">
        <v>2796</v>
      </c>
      <c r="E136" s="2855">
        <v>0.1</v>
      </c>
      <c r="F136" s="2855">
        <v>15</v>
      </c>
    </row>
    <row r="137" spans="1:6" ht="13.5">
      <c r="A137" s="2855">
        <v>65</v>
      </c>
      <c r="B137" s="2855" t="s">
        <v>2797</v>
      </c>
      <c r="C137" s="2855" t="s">
        <v>2798</v>
      </c>
      <c r="D137" s="2829" t="s">
        <v>2799</v>
      </c>
      <c r="E137" s="2855">
        <v>0.1</v>
      </c>
      <c r="F137" s="2855">
        <v>15</v>
      </c>
    </row>
    <row r="138" spans="1:6" ht="13.5">
      <c r="A138" s="2855"/>
      <c r="B138" s="2855"/>
      <c r="C138" s="2855"/>
      <c r="D138" s="2855"/>
      <c r="E138" s="2855" t="s">
        <v>2800</v>
      </c>
      <c r="F138" s="2855"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B3" sqref="B3:M34"/>
    </sheetView>
  </sheetViews>
  <sheetFormatPr defaultColWidth="9" defaultRowHeight="13.5"/>
  <cols>
    <col min="1" max="13" width="9" style="2877"/>
  </cols>
  <sheetData>
    <row r="1" spans="1:20" ht="15" thickBot="1">
      <c r="A1" s="2863" t="s">
        <v>2801</v>
      </c>
      <c r="B1" s="2863"/>
      <c r="C1" s="2863"/>
      <c r="D1" s="2863"/>
      <c r="E1" s="2863"/>
      <c r="F1" s="2863"/>
      <c r="G1" s="2863"/>
      <c r="H1" s="2863"/>
      <c r="I1" s="2863"/>
      <c r="J1" s="2863"/>
      <c r="K1" s="2863"/>
      <c r="L1" s="2863"/>
      <c r="M1" s="2863"/>
      <c r="N1" s="707"/>
    </row>
    <row r="2" spans="1:20">
      <c r="A2" s="2864" t="s">
        <v>2802</v>
      </c>
      <c r="B2" s="2865" t="s">
        <v>2598</v>
      </c>
      <c r="C2" s="2865" t="s">
        <v>2599</v>
      </c>
      <c r="D2" s="2865" t="s">
        <v>2600</v>
      </c>
      <c r="E2" s="2865" t="s">
        <v>2601</v>
      </c>
      <c r="F2" s="2865" t="s">
        <v>2602</v>
      </c>
      <c r="G2" s="2865" t="s">
        <v>2603</v>
      </c>
      <c r="H2" s="2866" t="s">
        <v>2604</v>
      </c>
      <c r="I2" s="2866" t="s">
        <v>2605</v>
      </c>
      <c r="J2" s="2867" t="s">
        <v>2606</v>
      </c>
      <c r="K2" s="2867" t="s">
        <v>2607</v>
      </c>
      <c r="L2" s="2867" t="s">
        <v>2608</v>
      </c>
      <c r="M2" s="2868" t="s">
        <v>2609</v>
      </c>
      <c r="Q2" s="2878" t="s">
        <v>2807</v>
      </c>
      <c r="R2" s="2878" t="s">
        <v>2808</v>
      </c>
      <c r="S2" s="2878" t="s">
        <v>2809</v>
      </c>
      <c r="T2" s="2878" t="s">
        <v>2810</v>
      </c>
    </row>
    <row r="3" spans="1:20">
      <c r="A3" s="2869">
        <v>1</v>
      </c>
      <c r="B3" s="3168">
        <v>1.2574000000000001</v>
      </c>
      <c r="C3" s="3168">
        <v>1.2574000000000001</v>
      </c>
      <c r="D3" s="3168">
        <v>1.2299</v>
      </c>
      <c r="E3" s="3168">
        <v>1.2299</v>
      </c>
      <c r="F3" s="3168">
        <v>1.2299</v>
      </c>
      <c r="G3" s="3168">
        <v>1.2299</v>
      </c>
      <c r="H3" s="3168">
        <v>1.2299</v>
      </c>
      <c r="I3" s="3168">
        <v>1.2333000000000001</v>
      </c>
      <c r="J3" s="3168">
        <v>1.2333000000000001</v>
      </c>
      <c r="K3" s="3168">
        <v>1.2333000000000001</v>
      </c>
      <c r="L3" s="3168">
        <v>1.2333000000000001</v>
      </c>
      <c r="M3" s="3169">
        <v>1.2333000000000001</v>
      </c>
      <c r="Q3" s="2878">
        <v>10</v>
      </c>
      <c r="R3" s="2878">
        <f>ROUND(0.9968-0.011*Q3,4)</f>
        <v>0.88680000000000003</v>
      </c>
      <c r="S3" s="2878">
        <f>ROUND(0.949-0.014*Q3,4)</f>
        <v>0.80900000000000005</v>
      </c>
      <c r="T3" s="2878">
        <f>ROUND(0.8486-0.018*Q3,4)</f>
        <v>0.66859999999999997</v>
      </c>
    </row>
    <row r="4" spans="1:20">
      <c r="A4" s="2869">
        <v>1.1000000000000001</v>
      </c>
      <c r="B4" s="3168">
        <v>1.2283999999999999</v>
      </c>
      <c r="C4" s="3168">
        <v>1.2283999999999999</v>
      </c>
      <c r="D4" s="3168">
        <v>1.1984999999999999</v>
      </c>
      <c r="E4" s="3168">
        <v>1.1984999999999999</v>
      </c>
      <c r="F4" s="3168">
        <v>1.1984999999999999</v>
      </c>
      <c r="G4" s="3168">
        <v>1.1984999999999999</v>
      </c>
      <c r="H4" s="3168">
        <v>1.1984999999999999</v>
      </c>
      <c r="I4" s="3168">
        <v>1.1899</v>
      </c>
      <c r="J4" s="3168">
        <v>1.1899</v>
      </c>
      <c r="K4" s="3168">
        <v>1.1899</v>
      </c>
      <c r="L4" s="3168">
        <v>1.1899</v>
      </c>
      <c r="M4" s="3169">
        <v>1.1899</v>
      </c>
    </row>
    <row r="5" spans="1:20">
      <c r="A5" s="2869">
        <v>1.2</v>
      </c>
      <c r="B5" s="3168">
        <v>1.2031000000000001</v>
      </c>
      <c r="C5" s="3168">
        <v>1.2031000000000001</v>
      </c>
      <c r="D5" s="3168">
        <v>1.1711</v>
      </c>
      <c r="E5" s="3168">
        <v>1.1711</v>
      </c>
      <c r="F5" s="3168">
        <v>1.1711</v>
      </c>
      <c r="G5" s="3168">
        <v>1.1711</v>
      </c>
      <c r="H5" s="3168">
        <v>1.1711</v>
      </c>
      <c r="I5" s="3168">
        <v>1.1528</v>
      </c>
      <c r="J5" s="3168">
        <v>1.1528</v>
      </c>
      <c r="K5" s="3168">
        <v>1.1528</v>
      </c>
      <c r="L5" s="3168">
        <v>1.1528</v>
      </c>
      <c r="M5" s="3169">
        <v>1.1528</v>
      </c>
    </row>
    <row r="6" spans="1:20">
      <c r="A6" s="2869">
        <v>1.3</v>
      </c>
      <c r="B6" s="3168">
        <v>1.1811</v>
      </c>
      <c r="C6" s="3168">
        <v>1.1811</v>
      </c>
      <c r="D6" s="3168">
        <v>1.1472</v>
      </c>
      <c r="E6" s="3168">
        <v>1.1472</v>
      </c>
      <c r="F6" s="3168">
        <v>1.1472</v>
      </c>
      <c r="G6" s="3168">
        <v>1.1472</v>
      </c>
      <c r="H6" s="3168">
        <v>1.1472</v>
      </c>
      <c r="I6" s="3168">
        <v>1.1214</v>
      </c>
      <c r="J6" s="3168">
        <v>1.1214</v>
      </c>
      <c r="K6" s="3168">
        <v>1.1214</v>
      </c>
      <c r="L6" s="3168">
        <v>1.1214</v>
      </c>
      <c r="M6" s="3169">
        <v>1.1214</v>
      </c>
    </row>
    <row r="7" spans="1:20">
      <c r="A7" s="2869">
        <v>1.4</v>
      </c>
      <c r="B7" s="3168">
        <v>1.1619999999999999</v>
      </c>
      <c r="C7" s="3168">
        <v>1.1619999999999999</v>
      </c>
      <c r="D7" s="3168">
        <v>1.1265000000000001</v>
      </c>
      <c r="E7" s="3168">
        <v>1.1265000000000001</v>
      </c>
      <c r="F7" s="3168">
        <v>1.1265000000000001</v>
      </c>
      <c r="G7" s="3168">
        <v>1.1265000000000001</v>
      </c>
      <c r="H7" s="3168">
        <v>1.1265000000000001</v>
      </c>
      <c r="I7" s="3168">
        <v>1.0948</v>
      </c>
      <c r="J7" s="3168">
        <v>1.0948</v>
      </c>
      <c r="K7" s="3168">
        <v>1.0948</v>
      </c>
      <c r="L7" s="3168">
        <v>1.0948</v>
      </c>
      <c r="M7" s="3169">
        <v>1.0948</v>
      </c>
    </row>
    <row r="8" spans="1:20">
      <c r="A8" s="2869">
        <v>1.5</v>
      </c>
      <c r="B8" s="3168">
        <v>1.1453</v>
      </c>
      <c r="C8" s="3168">
        <v>1.1453</v>
      </c>
      <c r="D8" s="3168">
        <v>1.1084000000000001</v>
      </c>
      <c r="E8" s="3168">
        <v>1.1084000000000001</v>
      </c>
      <c r="F8" s="3168">
        <v>1.1084000000000001</v>
      </c>
      <c r="G8" s="3168">
        <v>1.1084000000000001</v>
      </c>
      <c r="H8" s="3168">
        <v>1.1084000000000001</v>
      </c>
      <c r="I8" s="3168">
        <v>1.0725</v>
      </c>
      <c r="J8" s="3168">
        <v>1.0725</v>
      </c>
      <c r="K8" s="3168">
        <v>1.0725</v>
      </c>
      <c r="L8" s="3168">
        <v>1.0725</v>
      </c>
      <c r="M8" s="3169">
        <v>1.0725</v>
      </c>
    </row>
    <row r="9" spans="1:20">
      <c r="A9" s="2869">
        <v>1.6</v>
      </c>
      <c r="B9" s="3168">
        <v>1.1306</v>
      </c>
      <c r="C9" s="3168">
        <v>1.1306</v>
      </c>
      <c r="D9" s="3168">
        <v>1.0924</v>
      </c>
      <c r="E9" s="3168">
        <v>1.0924</v>
      </c>
      <c r="F9" s="3168">
        <v>1.0924</v>
      </c>
      <c r="G9" s="3168">
        <v>1.0924</v>
      </c>
      <c r="H9" s="3168">
        <v>1.0924</v>
      </c>
      <c r="I9" s="3168">
        <v>1.0538000000000001</v>
      </c>
      <c r="J9" s="3168">
        <v>1.0538000000000001</v>
      </c>
      <c r="K9" s="3168">
        <v>1.0538000000000001</v>
      </c>
      <c r="L9" s="3168">
        <v>1.0538000000000001</v>
      </c>
      <c r="M9" s="3169">
        <v>1.0538000000000001</v>
      </c>
    </row>
    <row r="10" spans="1:20">
      <c r="A10" s="2869">
        <v>1.7</v>
      </c>
      <c r="B10" s="3168">
        <v>1.1175999999999999</v>
      </c>
      <c r="C10" s="3168">
        <v>1.1175999999999999</v>
      </c>
      <c r="D10" s="3168">
        <v>1.0783</v>
      </c>
      <c r="E10" s="3168">
        <v>1.0783</v>
      </c>
      <c r="F10" s="3168">
        <v>1.0783</v>
      </c>
      <c r="G10" s="3168">
        <v>1.0783</v>
      </c>
      <c r="H10" s="3168">
        <v>1.0783</v>
      </c>
      <c r="I10" s="3168">
        <v>1.0379</v>
      </c>
      <c r="J10" s="3168">
        <v>1.0379</v>
      </c>
      <c r="K10" s="3168">
        <v>1.0379</v>
      </c>
      <c r="L10" s="3168">
        <v>1.0379</v>
      </c>
      <c r="M10" s="3169">
        <v>1.0379</v>
      </c>
    </row>
    <row r="11" spans="1:20">
      <c r="A11" s="2869">
        <v>1.8</v>
      </c>
      <c r="B11" s="3168">
        <v>1.1057999999999999</v>
      </c>
      <c r="C11" s="3168">
        <v>1.1057999999999999</v>
      </c>
      <c r="D11" s="3168">
        <v>1.0653999999999999</v>
      </c>
      <c r="E11" s="3168">
        <v>1.0653999999999999</v>
      </c>
      <c r="F11" s="3168">
        <v>1.0653999999999999</v>
      </c>
      <c r="G11" s="3168">
        <v>1.0653999999999999</v>
      </c>
      <c r="H11" s="3168">
        <v>1.0653999999999999</v>
      </c>
      <c r="I11" s="3168">
        <v>1.0241</v>
      </c>
      <c r="J11" s="3168">
        <v>1.0241</v>
      </c>
      <c r="K11" s="3168">
        <v>1.0241</v>
      </c>
      <c r="L11" s="3168">
        <v>1.0241</v>
      </c>
      <c r="M11" s="3169">
        <v>1.0241</v>
      </c>
    </row>
    <row r="12" spans="1:20">
      <c r="A12" s="2869">
        <v>1.9</v>
      </c>
      <c r="B12" s="3168">
        <v>1.0949</v>
      </c>
      <c r="C12" s="3168">
        <v>1.0949</v>
      </c>
      <c r="D12" s="3168">
        <v>1.0537000000000001</v>
      </c>
      <c r="E12" s="3168">
        <v>1.0537000000000001</v>
      </c>
      <c r="F12" s="3168">
        <v>1.0537000000000001</v>
      </c>
      <c r="G12" s="3168">
        <v>1.0537000000000001</v>
      </c>
      <c r="H12" s="3168">
        <v>1.0537000000000001</v>
      </c>
      <c r="I12" s="3168">
        <v>1.0117</v>
      </c>
      <c r="J12" s="3168">
        <v>1.0117</v>
      </c>
      <c r="K12" s="3168">
        <v>1.0117</v>
      </c>
      <c r="L12" s="3168">
        <v>1.0117</v>
      </c>
      <c r="M12" s="3169">
        <v>1.0117</v>
      </c>
    </row>
    <row r="13" spans="1:20">
      <c r="A13" s="2869">
        <v>2</v>
      </c>
      <c r="B13" s="3168">
        <v>1.0847</v>
      </c>
      <c r="C13" s="3168">
        <v>1.0847</v>
      </c>
      <c r="D13" s="3168">
        <v>1.0427</v>
      </c>
      <c r="E13" s="3168">
        <v>1.0427</v>
      </c>
      <c r="F13" s="3168">
        <v>1.0427</v>
      </c>
      <c r="G13" s="3168">
        <v>1.0427</v>
      </c>
      <c r="H13" s="3168">
        <v>1.0427</v>
      </c>
      <c r="I13" s="3168">
        <v>1</v>
      </c>
      <c r="J13" s="3168">
        <v>1</v>
      </c>
      <c r="K13" s="3168">
        <v>1</v>
      </c>
      <c r="L13" s="3168">
        <v>1</v>
      </c>
      <c r="M13" s="3169">
        <v>1</v>
      </c>
    </row>
    <row r="14" spans="1:20">
      <c r="A14" s="2872">
        <v>2.1</v>
      </c>
      <c r="B14" s="3168">
        <v>1.0749</v>
      </c>
      <c r="C14" s="3168">
        <v>1.0749</v>
      </c>
      <c r="D14" s="3168">
        <v>1.0327999999999999</v>
      </c>
      <c r="E14" s="3168">
        <v>1.0327999999999999</v>
      </c>
      <c r="F14" s="3168">
        <v>1.0327999999999999</v>
      </c>
      <c r="G14" s="3168">
        <v>1.0327999999999999</v>
      </c>
      <c r="H14" s="3168">
        <v>1.0327999999999999</v>
      </c>
      <c r="I14" s="3168">
        <v>0.98819999999999997</v>
      </c>
      <c r="J14" s="3168">
        <v>0.98819999999999997</v>
      </c>
      <c r="K14" s="3168">
        <v>0.98819999999999997</v>
      </c>
      <c r="L14" s="3168">
        <v>0.98819999999999997</v>
      </c>
      <c r="M14" s="3169">
        <v>0.98819999999999997</v>
      </c>
    </row>
    <row r="15" spans="1:20">
      <c r="A15" s="2872">
        <v>2.2000000000000002</v>
      </c>
      <c r="B15" s="3168">
        <v>1.0663</v>
      </c>
      <c r="C15" s="3168">
        <v>1.0663</v>
      </c>
      <c r="D15" s="3168">
        <v>1.0237000000000001</v>
      </c>
      <c r="E15" s="3168">
        <v>1.0237000000000001</v>
      </c>
      <c r="F15" s="3168">
        <v>1.0237000000000001</v>
      </c>
      <c r="G15" s="3168">
        <v>1.0237000000000001</v>
      </c>
      <c r="H15" s="3168">
        <v>1.0237000000000001</v>
      </c>
      <c r="I15" s="3168">
        <v>0.9768</v>
      </c>
      <c r="J15" s="3168">
        <v>0.9768</v>
      </c>
      <c r="K15" s="3168">
        <v>0.9768</v>
      </c>
      <c r="L15" s="3168">
        <v>0.9768</v>
      </c>
      <c r="M15" s="3169">
        <v>0.9768</v>
      </c>
    </row>
    <row r="16" spans="1:20">
      <c r="A16" s="2872">
        <v>2.2999999999999998</v>
      </c>
      <c r="B16" s="3168">
        <v>1.0584</v>
      </c>
      <c r="C16" s="3168">
        <v>1.0584</v>
      </c>
      <c r="D16" s="3168">
        <v>1.0152000000000001</v>
      </c>
      <c r="E16" s="3168">
        <v>1.0152000000000001</v>
      </c>
      <c r="F16" s="3168">
        <v>1.0152000000000001</v>
      </c>
      <c r="G16" s="3168">
        <v>1.0152000000000001</v>
      </c>
      <c r="H16" s="3168">
        <v>1.0152000000000001</v>
      </c>
      <c r="I16" s="3168">
        <v>0.96609999999999996</v>
      </c>
      <c r="J16" s="3168">
        <v>0.96609999999999996</v>
      </c>
      <c r="K16" s="3168">
        <v>0.96609999999999996</v>
      </c>
      <c r="L16" s="3168">
        <v>0.96609999999999996</v>
      </c>
      <c r="M16" s="3169">
        <v>0.96609999999999996</v>
      </c>
    </row>
    <row r="17" spans="1:13">
      <c r="A17" s="2872">
        <v>2.4</v>
      </c>
      <c r="B17" s="3168">
        <v>1.0511999999999999</v>
      </c>
      <c r="C17" s="3168">
        <v>1.0511999999999999</v>
      </c>
      <c r="D17" s="3168">
        <v>1.0074000000000001</v>
      </c>
      <c r="E17" s="3168">
        <v>1.0074000000000001</v>
      </c>
      <c r="F17" s="3168">
        <v>1.0074000000000001</v>
      </c>
      <c r="G17" s="3168">
        <v>1.0074000000000001</v>
      </c>
      <c r="H17" s="3168">
        <v>1.0074000000000001</v>
      </c>
      <c r="I17" s="3168">
        <v>0.95579999999999998</v>
      </c>
      <c r="J17" s="3168">
        <v>0.95579999999999998</v>
      </c>
      <c r="K17" s="3168">
        <v>0.95579999999999998</v>
      </c>
      <c r="L17" s="3168">
        <v>0.95579999999999998</v>
      </c>
      <c r="M17" s="3169">
        <v>0.95579999999999998</v>
      </c>
    </row>
    <row r="18" spans="1:13">
      <c r="A18" s="2872">
        <v>2.5</v>
      </c>
      <c r="B18" s="3168">
        <v>1.0445</v>
      </c>
      <c r="C18" s="3168">
        <v>1.0445</v>
      </c>
      <c r="D18" s="3168">
        <v>1</v>
      </c>
      <c r="E18" s="3168">
        <v>1</v>
      </c>
      <c r="F18" s="3168">
        <v>1</v>
      </c>
      <c r="G18" s="3168">
        <v>1</v>
      </c>
      <c r="H18" s="3168">
        <v>1</v>
      </c>
      <c r="I18" s="3168">
        <v>0.94620000000000004</v>
      </c>
      <c r="J18" s="3168">
        <v>0.94620000000000004</v>
      </c>
      <c r="K18" s="3168">
        <v>0.94620000000000004</v>
      </c>
      <c r="L18" s="3168">
        <v>0.94620000000000004</v>
      </c>
      <c r="M18" s="3169">
        <v>0.94620000000000004</v>
      </c>
    </row>
    <row r="19" spans="1:13">
      <c r="A19" s="2872">
        <v>2.6</v>
      </c>
      <c r="B19" s="3168">
        <v>1.0386</v>
      </c>
      <c r="C19" s="3168">
        <v>1.0386</v>
      </c>
      <c r="D19" s="3168">
        <v>0.99350000000000005</v>
      </c>
      <c r="E19" s="3168">
        <v>0.99350000000000005</v>
      </c>
      <c r="F19" s="3168">
        <v>0.99350000000000005</v>
      </c>
      <c r="G19" s="3168">
        <v>0.99350000000000005</v>
      </c>
      <c r="H19" s="3168">
        <v>0.99350000000000005</v>
      </c>
      <c r="I19" s="3168">
        <v>0.93710000000000004</v>
      </c>
      <c r="J19" s="3168">
        <v>0.93710000000000004</v>
      </c>
      <c r="K19" s="3168">
        <v>0.93710000000000004</v>
      </c>
      <c r="L19" s="3168">
        <v>0.93710000000000004</v>
      </c>
      <c r="M19" s="3169">
        <v>0.93710000000000004</v>
      </c>
    </row>
    <row r="20" spans="1:13">
      <c r="A20" s="2872">
        <v>2.7</v>
      </c>
      <c r="B20" s="3168">
        <v>1.0331999999999999</v>
      </c>
      <c r="C20" s="3168">
        <v>1.0331999999999999</v>
      </c>
      <c r="D20" s="3168">
        <v>0.98770000000000002</v>
      </c>
      <c r="E20" s="3168">
        <v>0.98770000000000002</v>
      </c>
      <c r="F20" s="3168">
        <v>0.98770000000000002</v>
      </c>
      <c r="G20" s="3168">
        <v>0.98770000000000002</v>
      </c>
      <c r="H20" s="3168">
        <v>0.98770000000000002</v>
      </c>
      <c r="I20" s="3168">
        <v>0.92859999999999998</v>
      </c>
      <c r="J20" s="3168">
        <v>0.92859999999999998</v>
      </c>
      <c r="K20" s="3168">
        <v>0.92859999999999998</v>
      </c>
      <c r="L20" s="3168">
        <v>0.92859999999999998</v>
      </c>
      <c r="M20" s="3169">
        <v>0.92859999999999998</v>
      </c>
    </row>
    <row r="21" spans="1:13">
      <c r="A21" s="2872">
        <v>2.8</v>
      </c>
      <c r="B21" s="3168">
        <v>1.0282</v>
      </c>
      <c r="C21" s="3168">
        <v>1.0282</v>
      </c>
      <c r="D21" s="3168">
        <v>0.98260000000000003</v>
      </c>
      <c r="E21" s="3168">
        <v>0.98260000000000003</v>
      </c>
      <c r="F21" s="3168">
        <v>0.98260000000000003</v>
      </c>
      <c r="G21" s="3168">
        <v>0.98260000000000003</v>
      </c>
      <c r="H21" s="3168">
        <v>0.98260000000000003</v>
      </c>
      <c r="I21" s="3168">
        <v>0.92069999999999996</v>
      </c>
      <c r="J21" s="3168">
        <v>0.92069999999999996</v>
      </c>
      <c r="K21" s="3168">
        <v>0.92069999999999996</v>
      </c>
      <c r="L21" s="3168">
        <v>0.92069999999999996</v>
      </c>
      <c r="M21" s="3169">
        <v>0.92069999999999996</v>
      </c>
    </row>
    <row r="22" spans="1:13">
      <c r="A22" s="2872">
        <v>2.9</v>
      </c>
      <c r="B22" s="3168">
        <v>1.0235000000000001</v>
      </c>
      <c r="C22" s="3168">
        <v>1.0235000000000001</v>
      </c>
      <c r="D22" s="3168">
        <v>0.97770000000000001</v>
      </c>
      <c r="E22" s="3168">
        <v>0.97770000000000001</v>
      </c>
      <c r="F22" s="3168">
        <v>0.97770000000000001</v>
      </c>
      <c r="G22" s="3168">
        <v>0.97770000000000001</v>
      </c>
      <c r="H22" s="3168">
        <v>0.97770000000000001</v>
      </c>
      <c r="I22" s="3168">
        <v>0.9133</v>
      </c>
      <c r="J22" s="3168">
        <v>0.9133</v>
      </c>
      <c r="K22" s="3168">
        <v>0.9133</v>
      </c>
      <c r="L22" s="3168">
        <v>0.9133</v>
      </c>
      <c r="M22" s="3169">
        <v>0.9133</v>
      </c>
    </row>
    <row r="23" spans="1:13">
      <c r="A23" s="2872">
        <v>3</v>
      </c>
      <c r="B23" s="3168">
        <v>1.0190999999999999</v>
      </c>
      <c r="C23" s="3168">
        <v>1.0190999999999999</v>
      </c>
      <c r="D23" s="3168">
        <v>0.97299999999999998</v>
      </c>
      <c r="E23" s="3168">
        <v>0.97299999999999998</v>
      </c>
      <c r="F23" s="3168">
        <v>0.97299999999999998</v>
      </c>
      <c r="G23" s="3168">
        <v>0.97299999999999998</v>
      </c>
      <c r="H23" s="3168">
        <v>0.97299999999999998</v>
      </c>
      <c r="I23" s="3168">
        <v>0.90629999999999999</v>
      </c>
      <c r="J23" s="3168">
        <v>0.90629999999999999</v>
      </c>
      <c r="K23" s="3168">
        <v>0.90629999999999999</v>
      </c>
      <c r="L23" s="3168">
        <v>0.90629999999999999</v>
      </c>
      <c r="M23" s="3169">
        <v>0.90629999999999999</v>
      </c>
    </row>
    <row r="24" spans="1:13">
      <c r="A24" s="2872">
        <v>3.1</v>
      </c>
      <c r="B24" s="3168">
        <v>1.0148999999999999</v>
      </c>
      <c r="C24" s="3168">
        <v>1.0148999999999999</v>
      </c>
      <c r="D24" s="3168">
        <v>0.96840000000000004</v>
      </c>
      <c r="E24" s="3168">
        <v>0.96840000000000004</v>
      </c>
      <c r="F24" s="3168">
        <v>0.96840000000000004</v>
      </c>
      <c r="G24" s="3168">
        <v>0.96840000000000004</v>
      </c>
      <c r="H24" s="3168">
        <v>0.96840000000000004</v>
      </c>
      <c r="I24" s="3168">
        <v>0.89959999999999996</v>
      </c>
      <c r="J24" s="3168">
        <v>0.89959999999999996</v>
      </c>
      <c r="K24" s="3168">
        <v>0.89959999999999996</v>
      </c>
      <c r="L24" s="3168">
        <v>0.89959999999999996</v>
      </c>
      <c r="M24" s="3169">
        <v>0.89959999999999996</v>
      </c>
    </row>
    <row r="25" spans="1:13">
      <c r="A25" s="2872">
        <v>3.2</v>
      </c>
      <c r="B25" s="3168">
        <v>1.0108999999999999</v>
      </c>
      <c r="C25" s="3168">
        <v>1.0108999999999999</v>
      </c>
      <c r="D25" s="3168">
        <v>0.96399999999999997</v>
      </c>
      <c r="E25" s="3168">
        <v>0.96399999999999997</v>
      </c>
      <c r="F25" s="3168">
        <v>0.96399999999999997</v>
      </c>
      <c r="G25" s="3168">
        <v>0.96399999999999997</v>
      </c>
      <c r="H25" s="3168">
        <v>0.96399999999999997</v>
      </c>
      <c r="I25" s="3168">
        <v>0.89319999999999999</v>
      </c>
      <c r="J25" s="3168">
        <v>0.89319999999999999</v>
      </c>
      <c r="K25" s="3168">
        <v>0.89319999999999999</v>
      </c>
      <c r="L25" s="3168">
        <v>0.89319999999999999</v>
      </c>
      <c r="M25" s="3169">
        <v>0.89319999999999999</v>
      </c>
    </row>
    <row r="26" spans="1:13">
      <c r="A26" s="2872">
        <v>3.3</v>
      </c>
      <c r="B26" s="3168">
        <v>1.0071000000000001</v>
      </c>
      <c r="C26" s="3168">
        <v>1.0071000000000001</v>
      </c>
      <c r="D26" s="3168">
        <v>0.95979999999999999</v>
      </c>
      <c r="E26" s="3168">
        <v>0.95979999999999999</v>
      </c>
      <c r="F26" s="3168">
        <v>0.95979999999999999</v>
      </c>
      <c r="G26" s="3168">
        <v>0.95979999999999999</v>
      </c>
      <c r="H26" s="3168">
        <v>0.95979999999999999</v>
      </c>
      <c r="I26" s="3168">
        <v>0.8871</v>
      </c>
      <c r="J26" s="3168">
        <v>0.8871</v>
      </c>
      <c r="K26" s="3168">
        <v>0.8871</v>
      </c>
      <c r="L26" s="3168">
        <v>0.8871</v>
      </c>
      <c r="M26" s="3169">
        <v>0.8871</v>
      </c>
    </row>
    <row r="27" spans="1:13">
      <c r="A27" s="2872">
        <v>3.4</v>
      </c>
      <c r="B27" s="3168">
        <v>1.0035000000000001</v>
      </c>
      <c r="C27" s="3168">
        <v>1.0035000000000001</v>
      </c>
      <c r="D27" s="3168">
        <v>0.95579999999999998</v>
      </c>
      <c r="E27" s="3168">
        <v>0.95579999999999998</v>
      </c>
      <c r="F27" s="3168">
        <v>0.95579999999999998</v>
      </c>
      <c r="G27" s="3168">
        <v>0.95579999999999998</v>
      </c>
      <c r="H27" s="3168">
        <v>0.95579999999999998</v>
      </c>
      <c r="I27" s="3168">
        <v>0.88119999999999998</v>
      </c>
      <c r="J27" s="3168">
        <v>0.88119999999999998</v>
      </c>
      <c r="K27" s="3168">
        <v>0.88119999999999998</v>
      </c>
      <c r="L27" s="3168">
        <v>0.88119999999999998</v>
      </c>
      <c r="M27" s="3169">
        <v>0.88119999999999998</v>
      </c>
    </row>
    <row r="28" spans="1:13">
      <c r="A28" s="2872">
        <v>3.5</v>
      </c>
      <c r="B28" s="3168">
        <v>1</v>
      </c>
      <c r="C28" s="3168">
        <v>1</v>
      </c>
      <c r="D28" s="3168">
        <v>0.95199999999999996</v>
      </c>
      <c r="E28" s="3168">
        <v>0.95199999999999996</v>
      </c>
      <c r="F28" s="3168">
        <v>0.95199999999999996</v>
      </c>
      <c r="G28" s="3168">
        <v>0.95199999999999996</v>
      </c>
      <c r="H28" s="3168">
        <v>0.95199999999999996</v>
      </c>
      <c r="I28" s="3168">
        <v>0.87549999999999994</v>
      </c>
      <c r="J28" s="3168">
        <v>0.87549999999999994</v>
      </c>
      <c r="K28" s="3168">
        <v>0.87549999999999994</v>
      </c>
      <c r="L28" s="3168">
        <v>0.87549999999999994</v>
      </c>
      <c r="M28" s="3169">
        <v>0.87549999999999994</v>
      </c>
    </row>
    <row r="29" spans="1:13">
      <c r="A29" s="2872">
        <v>3.6</v>
      </c>
      <c r="B29" s="3168">
        <v>0.99660000000000004</v>
      </c>
      <c r="C29" s="3168">
        <v>0.99660000000000004</v>
      </c>
      <c r="D29" s="3168">
        <v>0.94840000000000002</v>
      </c>
      <c r="E29" s="3168">
        <v>0.94840000000000002</v>
      </c>
      <c r="F29" s="3168">
        <v>0.94840000000000002</v>
      </c>
      <c r="G29" s="3168">
        <v>0.94840000000000002</v>
      </c>
      <c r="H29" s="3168">
        <v>0.94840000000000002</v>
      </c>
      <c r="I29" s="3168">
        <v>0.87</v>
      </c>
      <c r="J29" s="3168">
        <v>0.87</v>
      </c>
      <c r="K29" s="3168">
        <v>0.87</v>
      </c>
      <c r="L29" s="3168">
        <v>0.87</v>
      </c>
      <c r="M29" s="3169">
        <v>0.87</v>
      </c>
    </row>
    <row r="30" spans="1:13">
      <c r="A30" s="2872">
        <v>3.7</v>
      </c>
      <c r="B30" s="3168">
        <v>0.99329999999999996</v>
      </c>
      <c r="C30" s="3168">
        <v>0.99329999999999996</v>
      </c>
      <c r="D30" s="3168">
        <v>0.94499999999999995</v>
      </c>
      <c r="E30" s="3168">
        <v>0.94499999999999995</v>
      </c>
      <c r="F30" s="3168">
        <v>0.94499999999999995</v>
      </c>
      <c r="G30" s="3168">
        <v>0.94499999999999995</v>
      </c>
      <c r="H30" s="3168">
        <v>0.94499999999999995</v>
      </c>
      <c r="I30" s="3168">
        <v>0.86470000000000002</v>
      </c>
      <c r="J30" s="3168">
        <v>0.86470000000000002</v>
      </c>
      <c r="K30" s="3168">
        <v>0.86470000000000002</v>
      </c>
      <c r="L30" s="3168">
        <v>0.86470000000000002</v>
      </c>
      <c r="M30" s="3169">
        <v>0.86470000000000002</v>
      </c>
    </row>
    <row r="31" spans="1:13">
      <c r="A31" s="2872">
        <v>3.8</v>
      </c>
      <c r="B31" s="3168">
        <v>0.99009999999999998</v>
      </c>
      <c r="C31" s="3168">
        <v>0.99009999999999998</v>
      </c>
      <c r="D31" s="3168">
        <v>0.94169999999999998</v>
      </c>
      <c r="E31" s="3168">
        <v>0.94169999999999998</v>
      </c>
      <c r="F31" s="3168">
        <v>0.94169999999999998</v>
      </c>
      <c r="G31" s="3168">
        <v>0.94169999999999998</v>
      </c>
      <c r="H31" s="3168">
        <v>0.94169999999999998</v>
      </c>
      <c r="I31" s="3168">
        <v>0.85960000000000003</v>
      </c>
      <c r="J31" s="3168">
        <v>0.85960000000000003</v>
      </c>
      <c r="K31" s="3168">
        <v>0.85960000000000003</v>
      </c>
      <c r="L31" s="3168">
        <v>0.85960000000000003</v>
      </c>
      <c r="M31" s="3169">
        <v>0.85960000000000003</v>
      </c>
    </row>
    <row r="32" spans="1:13">
      <c r="A32" s="2872">
        <v>3.9</v>
      </c>
      <c r="B32" s="3168">
        <v>0.98699999999999999</v>
      </c>
      <c r="C32" s="3168">
        <v>0.98699999999999999</v>
      </c>
      <c r="D32" s="3168">
        <v>0.9385</v>
      </c>
      <c r="E32" s="3168">
        <v>0.9385</v>
      </c>
      <c r="F32" s="3168">
        <v>0.9385</v>
      </c>
      <c r="G32" s="3168">
        <v>0.9385</v>
      </c>
      <c r="H32" s="3168">
        <v>0.9385</v>
      </c>
      <c r="I32" s="3168">
        <v>0.85470000000000002</v>
      </c>
      <c r="J32" s="3168">
        <v>0.85470000000000002</v>
      </c>
      <c r="K32" s="3168">
        <v>0.85470000000000002</v>
      </c>
      <c r="L32" s="3168">
        <v>0.85470000000000002</v>
      </c>
      <c r="M32" s="3169">
        <v>0.85470000000000002</v>
      </c>
    </row>
    <row r="33" spans="1:13">
      <c r="A33" s="2872">
        <v>4</v>
      </c>
      <c r="B33" s="3168">
        <v>0.98399999999999999</v>
      </c>
      <c r="C33" s="3168">
        <v>0.98399999999999999</v>
      </c>
      <c r="D33" s="3168">
        <v>0.93540000000000001</v>
      </c>
      <c r="E33" s="3168">
        <v>0.93540000000000001</v>
      </c>
      <c r="F33" s="3168">
        <v>0.93540000000000001</v>
      </c>
      <c r="G33" s="3168">
        <v>0.93540000000000001</v>
      </c>
      <c r="H33" s="3168">
        <v>0.93540000000000001</v>
      </c>
      <c r="I33" s="3168">
        <v>0.84989999999999999</v>
      </c>
      <c r="J33" s="3168">
        <v>0.84989999999999999</v>
      </c>
      <c r="K33" s="3168">
        <v>0.84989999999999999</v>
      </c>
      <c r="L33" s="3168">
        <v>0.84989999999999999</v>
      </c>
      <c r="M33" s="3169">
        <v>0.84989999999999999</v>
      </c>
    </row>
    <row r="34" spans="1:13">
      <c r="A34" s="2872">
        <v>4.0999999999999996</v>
      </c>
      <c r="B34" s="3168">
        <v>0.98109999999999997</v>
      </c>
      <c r="C34" s="3168">
        <v>0.98109999999999997</v>
      </c>
      <c r="D34" s="3168">
        <v>0.93240000000000001</v>
      </c>
      <c r="E34" s="3168">
        <v>0.93240000000000001</v>
      </c>
      <c r="F34" s="3168">
        <v>0.93240000000000001</v>
      </c>
      <c r="G34" s="3168">
        <v>0.93240000000000001</v>
      </c>
      <c r="H34" s="3168">
        <v>0.93240000000000001</v>
      </c>
      <c r="I34" s="3168">
        <v>0.84519999999999995</v>
      </c>
      <c r="J34" s="3168">
        <v>0.84519999999999995</v>
      </c>
      <c r="K34" s="3168">
        <v>0.84519999999999995</v>
      </c>
      <c r="L34" s="3168">
        <v>0.84519999999999995</v>
      </c>
      <c r="M34" s="3169">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4.2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5" thickBot="1">
      <c r="A93" s="2863" t="s">
        <v>2803</v>
      </c>
      <c r="B93" s="2863"/>
      <c r="C93" s="2863"/>
      <c r="D93" s="2863"/>
      <c r="E93" s="2863"/>
      <c r="F93" s="2863"/>
      <c r="G93" s="2863"/>
      <c r="H93" s="2863"/>
      <c r="I93" s="2863"/>
      <c r="J93" s="2863"/>
      <c r="K93" s="2863"/>
      <c r="L93" s="2863"/>
      <c r="M93" s="2863"/>
    </row>
    <row r="94" spans="1:20">
      <c r="A94" s="2864" t="s">
        <v>2802</v>
      </c>
      <c r="B94" s="2865" t="s">
        <v>2598</v>
      </c>
      <c r="C94" s="2865" t="s">
        <v>2599</v>
      </c>
      <c r="D94" s="2865" t="s">
        <v>2600</v>
      </c>
      <c r="E94" s="2865" t="s">
        <v>2601</v>
      </c>
      <c r="F94" s="2865" t="s">
        <v>2602</v>
      </c>
      <c r="G94" s="2865" t="s">
        <v>2603</v>
      </c>
      <c r="H94" s="2866" t="s">
        <v>2604</v>
      </c>
      <c r="I94" s="2866" t="s">
        <v>2605</v>
      </c>
      <c r="J94" s="2867" t="s">
        <v>2606</v>
      </c>
      <c r="K94" s="2867" t="s">
        <v>2607</v>
      </c>
      <c r="L94" s="2867" t="s">
        <v>2608</v>
      </c>
      <c r="M94" s="2868" t="s">
        <v>2609</v>
      </c>
      <c r="N94">
        <f>SUMPRODUCT((A95:A184=ROUNDDOWN(基准地价修正!G3,1))*(B94:M94=基准地价修正!G2)*(B95:M184))</f>
        <v>0.88329999999999997</v>
      </c>
      <c r="Q94" s="2878" t="s">
        <v>2807</v>
      </c>
      <c r="R94" s="2878" t="s">
        <v>2808</v>
      </c>
      <c r="S94" s="2878" t="s">
        <v>2809</v>
      </c>
      <c r="T94" s="2878" t="s">
        <v>2810</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4.25">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7"/>
    </row>
    <row r="104" spans="1:14" ht="14.25">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7"/>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4.2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5" thickBot="1">
      <c r="A185" s="2863" t="s">
        <v>2804</v>
      </c>
      <c r="B185" s="2863"/>
      <c r="C185" s="2863"/>
      <c r="D185" s="2863"/>
      <c r="E185" s="2863"/>
      <c r="F185" s="2863"/>
      <c r="G185" s="2863"/>
      <c r="H185" s="2863"/>
      <c r="I185" s="2863"/>
      <c r="J185" s="2863"/>
      <c r="K185" s="2863"/>
      <c r="L185" s="2863"/>
      <c r="M185" s="2863"/>
    </row>
    <row r="186" spans="1:20">
      <c r="A186" s="2864" t="s">
        <v>2802</v>
      </c>
      <c r="B186" s="2865" t="s">
        <v>2598</v>
      </c>
      <c r="C186" s="2865" t="s">
        <v>2599</v>
      </c>
      <c r="D186" s="2865" t="s">
        <v>2600</v>
      </c>
      <c r="E186" s="2865" t="s">
        <v>2601</v>
      </c>
      <c r="F186" s="2865" t="s">
        <v>2602</v>
      </c>
      <c r="G186" s="2865" t="s">
        <v>2603</v>
      </c>
      <c r="H186" s="2866" t="s">
        <v>2604</v>
      </c>
      <c r="I186" s="2866" t="s">
        <v>2605</v>
      </c>
      <c r="J186" s="2867" t="s">
        <v>2606</v>
      </c>
      <c r="K186" s="2867" t="s">
        <v>2607</v>
      </c>
      <c r="L186" s="2867" t="s">
        <v>2608</v>
      </c>
      <c r="M186" s="2868" t="s">
        <v>2609</v>
      </c>
      <c r="Q186" s="2878" t="s">
        <v>2807</v>
      </c>
      <c r="R186" s="2878" t="s">
        <v>2808</v>
      </c>
      <c r="S186" s="2878" t="s">
        <v>2809</v>
      </c>
      <c r="T186" s="2878" t="s">
        <v>2810</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4.2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5" thickBot="1">
      <c r="A277" s="2863" t="s">
        <v>2805</v>
      </c>
      <c r="B277" s="2863"/>
      <c r="C277" s="2863"/>
      <c r="D277" s="2863"/>
      <c r="E277" s="2863"/>
      <c r="F277" s="2863"/>
      <c r="G277" s="2863"/>
      <c r="H277" s="2863"/>
      <c r="I277" s="2863"/>
      <c r="J277" s="2863"/>
      <c r="K277" s="2863"/>
      <c r="L277" s="2863"/>
      <c r="M277" s="2863"/>
    </row>
    <row r="278" spans="1:21">
      <c r="A278" s="2864" t="s">
        <v>2802</v>
      </c>
      <c r="B278" s="2865" t="s">
        <v>2598</v>
      </c>
      <c r="C278" s="2865" t="s">
        <v>2599</v>
      </c>
      <c r="D278" s="2865" t="s">
        <v>2600</v>
      </c>
      <c r="E278" s="2865" t="s">
        <v>2601</v>
      </c>
      <c r="F278" s="2865" t="s">
        <v>2602</v>
      </c>
      <c r="G278" s="2865" t="s">
        <v>2603</v>
      </c>
      <c r="H278" s="2866" t="s">
        <v>2604</v>
      </c>
      <c r="I278" s="2866" t="s">
        <v>2605</v>
      </c>
      <c r="J278" s="2867" t="s">
        <v>2606</v>
      </c>
      <c r="K278" s="2867" t="s">
        <v>2607</v>
      </c>
      <c r="L278" s="2867" t="s">
        <v>2608</v>
      </c>
      <c r="M278" s="2868" t="s">
        <v>2609</v>
      </c>
      <c r="Q278" s="2878" t="s">
        <v>2807</v>
      </c>
      <c r="R278" s="2878" t="s">
        <v>2808</v>
      </c>
      <c r="S278" s="2878" t="s">
        <v>2811</v>
      </c>
      <c r="T278" s="2878" t="s">
        <v>2812</v>
      </c>
      <c r="U278" s="2878" t="s">
        <v>2810</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4.2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5" thickBot="1">
      <c r="A369" s="2863" t="s">
        <v>2806</v>
      </c>
      <c r="B369" s="2876"/>
      <c r="C369" s="2876"/>
      <c r="D369" s="2876"/>
      <c r="E369" s="2876"/>
      <c r="F369" s="2876"/>
      <c r="G369" s="2876"/>
      <c r="H369" s="2876"/>
      <c r="I369" s="2876"/>
      <c r="J369" s="2876"/>
      <c r="K369" s="2876"/>
      <c r="L369" s="2876"/>
      <c r="M369" s="2876"/>
    </row>
    <row r="370" spans="1:20">
      <c r="A370" s="2864" t="s">
        <v>2802</v>
      </c>
      <c r="B370" s="2865" t="s">
        <v>2598</v>
      </c>
      <c r="C370" s="2865" t="s">
        <v>2599</v>
      </c>
      <c r="D370" s="2865" t="s">
        <v>2600</v>
      </c>
      <c r="E370" s="2865" t="s">
        <v>2601</v>
      </c>
      <c r="F370" s="2865" t="s">
        <v>2602</v>
      </c>
      <c r="G370" s="2865" t="s">
        <v>2603</v>
      </c>
      <c r="H370" s="2866" t="s">
        <v>2604</v>
      </c>
      <c r="I370" s="2866" t="s">
        <v>2605</v>
      </c>
      <c r="J370" s="2867" t="s">
        <v>2606</v>
      </c>
      <c r="K370" s="2867" t="s">
        <v>2607</v>
      </c>
      <c r="L370" s="2867" t="s">
        <v>2608</v>
      </c>
      <c r="M370" s="2868" t="s">
        <v>2609</v>
      </c>
      <c r="N370">
        <f>SUMPRODUCT((A371:A460=ROUNDDOWN(基准地价修正!G3,1))*(B370:M370=基准地价修正!G2)*(B371:M460))</f>
        <v>0.84019999999999995</v>
      </c>
      <c r="Q370" s="2878" t="s">
        <v>2807</v>
      </c>
      <c r="R370" s="2878" t="s">
        <v>2808</v>
      </c>
      <c r="S370" s="2878" t="s">
        <v>2809</v>
      </c>
      <c r="T370" s="2878" t="s">
        <v>2810</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4.2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28922</v>
      </c>
      <c r="C2" s="2" t="s">
        <v>106</v>
      </c>
      <c r="D2" s="191"/>
      <c r="E2" s="191"/>
      <c r="F2" s="191"/>
      <c r="G2" s="191"/>
    </row>
    <row r="3" spans="1:7" s="192" customFormat="1" ht="18" customHeight="1" thickBot="1">
      <c r="A3" s="195" t="s">
        <v>58</v>
      </c>
      <c r="B3" s="196">
        <f ca="1">ROUND(B2*10000/'数据-汇总表'!E3,0)</f>
        <v>4153669</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v>
      </c>
      <c r="D10" s="795">
        <f>'数据-汇总表'!E6</f>
        <v>69.63</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v>
      </c>
      <c r="D19" s="204">
        <f>'数据-汇总表'!E3</f>
        <v>69.63</v>
      </c>
      <c r="E19" s="203">
        <f>'数据-取费表'!B31</f>
        <v>200</v>
      </c>
      <c r="F19" s="223"/>
      <c r="G19" s="1" t="s">
        <v>436</v>
      </c>
    </row>
    <row r="20" spans="1:7" s="206" customFormat="1" ht="13.5" customHeight="1">
      <c r="A20" s="731" t="s">
        <v>419</v>
      </c>
      <c r="B20" s="202" t="s">
        <v>77</v>
      </c>
      <c r="C20" s="224">
        <f>ROUND((C5+C19)*F20,0)</f>
        <v>206</v>
      </c>
      <c r="D20" s="224"/>
      <c r="E20" s="224"/>
      <c r="F20" s="225">
        <f>'数据-取费表'!B37</f>
        <v>0.01</v>
      </c>
      <c r="G20" s="1004" t="s">
        <v>430</v>
      </c>
    </row>
    <row r="21" spans="1:7" s="206" customFormat="1" ht="13.5" customHeight="1">
      <c r="A21" s="731" t="s">
        <v>421</v>
      </c>
      <c r="B21" s="202" t="s">
        <v>78</v>
      </c>
      <c r="C21" s="227">
        <f>F21</f>
        <v>0.01</v>
      </c>
      <c r="D21" s="228" t="s">
        <v>99</v>
      </c>
      <c r="E21" s="224"/>
      <c r="F21" s="225">
        <f>'数据-取费表'!B38</f>
        <v>0.01</v>
      </c>
      <c r="G21" s="226" t="s">
        <v>79</v>
      </c>
    </row>
    <row r="22" spans="1:7" s="206" customFormat="1" ht="13.5" customHeight="1">
      <c r="A22" s="731" t="s">
        <v>341</v>
      </c>
      <c r="B22" s="202" t="s">
        <v>80</v>
      </c>
      <c r="C22" s="1041">
        <f ca="1">ROUND(SUM(C23:C25),0)</f>
        <v>2014</v>
      </c>
      <c r="D22" s="227">
        <f ca="1">C26</f>
        <v>5.0000000000000001E-4</v>
      </c>
      <c r="E22" s="228" t="s">
        <v>99</v>
      </c>
      <c r="F22" s="229">
        <f ca="1">'数据-取费表'!B40</f>
        <v>4.7500000000000001E-2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2004</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4163</v>
      </c>
      <c r="D27" s="227">
        <f>C29</f>
        <v>2E-3</v>
      </c>
      <c r="E27" s="228" t="s">
        <v>99</v>
      </c>
      <c r="F27" s="238">
        <f>'数据-取费表'!Q16</f>
        <v>0.2</v>
      </c>
      <c r="G27" s="239" t="s">
        <v>431</v>
      </c>
    </row>
    <row r="28" spans="1:7" s="206" customFormat="1" ht="13.5" customHeight="1">
      <c r="A28" s="734" t="s">
        <v>349</v>
      </c>
      <c r="B28" s="240" t="s">
        <v>424</v>
      </c>
      <c r="C28" s="241">
        <f>ROUND((C5+C19+C20)*F27*'数据-取费表'!B21/'数据-取费表'!B20,0)</f>
        <v>4163</v>
      </c>
      <c r="D28" s="227"/>
      <c r="E28" s="228"/>
      <c r="F28" s="238"/>
      <c r="G28" s="239"/>
    </row>
    <row r="29" spans="1:7" s="206" customFormat="1" ht="13.5" customHeight="1">
      <c r="A29" s="734" t="s">
        <v>347</v>
      </c>
      <c r="B29" s="240" t="s">
        <v>425</v>
      </c>
      <c r="C29" s="230">
        <f>ROUND(C21*F27*'数据-取费表'!B21/'数据-取费表'!B20,4)</f>
        <v>2E-3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28896</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26</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24</v>
      </c>
      <c r="D34" s="209"/>
      <c r="E34" s="212"/>
      <c r="F34" s="249">
        <f>IF('数据-取费表'!B24=0,1,'数据-取费表'!N16)</f>
        <v>1</v>
      </c>
      <c r="G34" s="211" t="s">
        <v>89</v>
      </c>
    </row>
    <row r="35" spans="1:7" ht="13.5" customHeight="1">
      <c r="A35" s="734" t="s">
        <v>351</v>
      </c>
      <c r="B35" s="207" t="s">
        <v>33</v>
      </c>
      <c r="C35" s="212">
        <f>ROUND(C34*F35,0)</f>
        <v>1</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v>
      </c>
      <c r="D37" s="209">
        <f>'数据-汇总表'!E3</f>
        <v>69.63</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0.01</v>
      </c>
      <c r="D40" s="228" t="s">
        <v>102</v>
      </c>
      <c r="E40" s="224"/>
      <c r="F40" s="225"/>
      <c r="G40" s="226" t="s">
        <v>93</v>
      </c>
    </row>
    <row r="41" spans="1:7" s="206" customFormat="1" ht="13.5" customHeight="1">
      <c r="A41" s="731" t="s">
        <v>340</v>
      </c>
      <c r="B41" s="202" t="s">
        <v>80</v>
      </c>
      <c r="C41" s="224">
        <f ca="1">ROUND(SUM(C42:C43),0)</f>
        <v>1</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v>
      </c>
      <c r="D42" s="230"/>
      <c r="E42" s="230"/>
      <c r="F42" s="231"/>
      <c r="G42" s="3356" t="s">
        <v>94</v>
      </c>
    </row>
    <row r="43" spans="1:7" ht="13.5" customHeight="1">
      <c r="A43" s="734" t="s">
        <v>347</v>
      </c>
      <c r="B43" s="207" t="s">
        <v>426</v>
      </c>
      <c r="C43" s="230">
        <f ca="1">ROUND(IF('数据-取费表'!B22&lt;=1,C39*F22*'数据-取费表'!B21/2,C39*(POWER((1+F22),'数据-取费表'!B21/2)-1)),0)</f>
        <v>0</v>
      </c>
      <c r="D43" s="230"/>
      <c r="E43" s="230"/>
      <c r="F43" s="231"/>
      <c r="G43" s="3357"/>
    </row>
    <row r="44" spans="1:7" ht="13.5" customHeight="1">
      <c r="A44" s="734" t="s">
        <v>348</v>
      </c>
      <c r="B44" s="207" t="s">
        <v>428</v>
      </c>
      <c r="C44" s="230">
        <f ca="1">ROUND(IF('数据-取费表'!B22&lt;=1,C40*F22*'数据-取费表'!B21/2,C40*(POWER((1+F22),'数据-取费表'!B21/2)-1)),4)</f>
        <v>5.0000000000000001E-4</v>
      </c>
      <c r="D44" s="230"/>
      <c r="E44" s="230"/>
      <c r="F44" s="231"/>
      <c r="G44" s="3358"/>
    </row>
    <row r="45" spans="1:7" s="206" customFormat="1" ht="13.5" customHeight="1">
      <c r="A45" s="731" t="s">
        <v>341</v>
      </c>
      <c r="B45" s="236" t="s">
        <v>85</v>
      </c>
      <c r="C45" s="237">
        <f>C46</f>
        <v>5</v>
      </c>
      <c r="D45" s="227">
        <f>C47</f>
        <v>2E-3</v>
      </c>
      <c r="E45" s="228" t="s">
        <v>102</v>
      </c>
      <c r="F45" s="238"/>
      <c r="G45" s="239" t="s">
        <v>434</v>
      </c>
    </row>
    <row r="46" spans="1:7" s="206" customFormat="1" ht="13.5" customHeight="1">
      <c r="A46" s="734" t="s">
        <v>349</v>
      </c>
      <c r="B46" s="240" t="s">
        <v>427</v>
      </c>
      <c r="C46" s="241">
        <f>ROUND((C33+C39)*F27,0)</f>
        <v>5</v>
      </c>
      <c r="D46" s="255"/>
      <c r="E46" s="228"/>
      <c r="F46" s="238"/>
      <c r="G46" s="239"/>
    </row>
    <row r="47" spans="1:7" s="206" customFormat="1" ht="13.5" customHeight="1">
      <c r="A47" s="734" t="s">
        <v>347</v>
      </c>
      <c r="B47" s="240" t="s">
        <v>429</v>
      </c>
      <c r="C47" s="230">
        <f>ROUND(C40*F27,4)</f>
        <v>2E-3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34</v>
      </c>
      <c r="D49" s="224"/>
      <c r="E49" s="224"/>
      <c r="F49" s="256"/>
      <c r="G49" s="226" t="s">
        <v>435</v>
      </c>
    </row>
    <row r="50" spans="1:7" s="250" customFormat="1" ht="24">
      <c r="A50" s="731" t="s">
        <v>344</v>
      </c>
      <c r="B50" s="202" t="s">
        <v>97</v>
      </c>
      <c r="C50" s="224"/>
      <c r="D50" s="224"/>
      <c r="E50" s="224"/>
      <c r="F50" s="256">
        <f>IF('数据-取费表'!B24=0,'数据-取费表'!N16,1)</f>
        <v>0.75</v>
      </c>
      <c r="G50" s="239" t="s">
        <v>98</v>
      </c>
    </row>
    <row r="51" spans="1:7" ht="16.5" customHeight="1">
      <c r="A51" s="731" t="s">
        <v>345</v>
      </c>
      <c r="B51" s="202" t="s">
        <v>105</v>
      </c>
      <c r="C51" s="224">
        <f ca="1">ROUND(C49*F50,0)</f>
        <v>26</v>
      </c>
      <c r="D51" s="224"/>
      <c r="E51" s="224"/>
      <c r="F51" s="256"/>
      <c r="G51" s="226" t="s">
        <v>37</v>
      </c>
    </row>
    <row r="52" spans="1:7" s="200" customFormat="1" ht="16.5" thickBot="1">
      <c r="A52" s="257" t="s">
        <v>38</v>
      </c>
      <c r="B52" s="258"/>
      <c r="C52" s="259">
        <f ca="1">C31+C51</f>
        <v>28922</v>
      </c>
      <c r="D52" s="258"/>
      <c r="E52" s="258"/>
      <c r="F52" s="258"/>
      <c r="G52" s="260"/>
    </row>
    <row r="55" spans="1:7" ht="15">
      <c r="B55" s="262" t="s">
        <v>39</v>
      </c>
      <c r="C55" s="263"/>
    </row>
    <row r="56" spans="1:7">
      <c r="B56" s="265" t="s">
        <v>40</v>
      </c>
      <c r="C56" s="266">
        <f ca="1">ROUND(C51/C52,3)</f>
        <v>1E-3</v>
      </c>
    </row>
    <row r="57" spans="1:7">
      <c r="B57" s="265" t="s">
        <v>41</v>
      </c>
      <c r="C57" s="267">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C29" zoomScale="80" zoomScaleNormal="70" zoomScaleSheetLayoutView="80" workbookViewId="0">
      <selection activeCell="Q65" sqref="Q65"/>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5.75" style="347" customWidth="1"/>
    <col min="6" max="6" width="12.25" style="347" customWidth="1"/>
    <col min="7" max="7" width="17" style="347" customWidth="1"/>
    <col min="8" max="8" width="12.25" style="347" customWidth="1"/>
    <col min="9" max="9" width="15.87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t="s">
        <v>3414</v>
      </c>
      <c r="E1" s="3122" t="s">
        <v>3458</v>
      </c>
      <c r="F1" s="1735" t="s">
        <v>3433</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275.74869999999999</v>
      </c>
      <c r="C2" s="1737" t="s">
        <v>43</v>
      </c>
      <c r="D2" s="1052" t="e">
        <f ca="1">IF(E1="项目模式",SUMIF(INDIRECT("'"&amp;F2&amp;"'"&amp;"!A:A"),"承租人权益价值",INDIRECT("'"&amp;F2&amp;"'"&amp;"!c:c")),SUMIF(INDIRECT("'"&amp;F2&amp;"'"&amp;"!A:A"),"承租人权益价值（单套）",INDIRECT("'"&amp;F2&amp;"'"&amp;"!c:c")))</f>
        <v>#REF!</v>
      </c>
      <c r="E2" s="1738" t="s">
        <v>1463</v>
      </c>
      <c r="F2" s="1739" t="s">
        <v>3457</v>
      </c>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39602</v>
      </c>
      <c r="C3" s="344" t="s">
        <v>1768</v>
      </c>
      <c r="D3" s="343">
        <f>IF(D1="",'数据-汇总表'!E3,SUMIF('数据-汇总表'!$C19:$C33,D1,'数据-汇总表'!$E19:$E33))</f>
        <v>69.63</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5">
      <c r="A4" s="345" t="s">
        <v>1769</v>
      </c>
      <c r="B4" s="346"/>
      <c r="C4" s="3403" t="s">
        <v>1770</v>
      </c>
      <c r="D4" s="3404"/>
      <c r="E4" s="3405" t="s">
        <v>1771</v>
      </c>
      <c r="F4" s="3406"/>
      <c r="G4" s="3403" t="s">
        <v>1772</v>
      </c>
      <c r="H4" s="3404"/>
      <c r="I4" s="3403" t="s">
        <v>1773</v>
      </c>
      <c r="J4" s="3404"/>
      <c r="K4" s="537" t="s">
        <v>1774</v>
      </c>
      <c r="L4" s="2485"/>
      <c r="M4" s="2486"/>
      <c r="N4" s="2486"/>
      <c r="O4" s="2486"/>
      <c r="P4" s="3407" t="s">
        <v>1775</v>
      </c>
      <c r="Q4" s="3408"/>
      <c r="R4" s="3413" t="s">
        <v>1771</v>
      </c>
      <c r="S4" s="3414"/>
      <c r="T4" s="3413" t="s">
        <v>1772</v>
      </c>
      <c r="U4" s="3414"/>
      <c r="V4" s="3389" t="s">
        <v>1773</v>
      </c>
      <c r="W4" s="3389"/>
      <c r="X4" s="1265"/>
      <c r="Y4" s="3413" t="s">
        <v>1775</v>
      </c>
      <c r="Z4" s="3414"/>
      <c r="AA4" s="3400" t="s">
        <v>1771</v>
      </c>
      <c r="AB4" s="3389" t="s">
        <v>1772</v>
      </c>
      <c r="AC4" s="3400" t="s">
        <v>1773</v>
      </c>
    </row>
    <row r="5" spans="1:29" ht="15">
      <c r="A5" s="348"/>
      <c r="B5" s="349"/>
      <c r="C5" s="3421" t="s">
        <v>1673</v>
      </c>
      <c r="D5" s="3422"/>
      <c r="E5" s="3428" t="s">
        <v>1674</v>
      </c>
      <c r="F5" s="3429"/>
      <c r="G5" s="3421" t="s">
        <v>1675</v>
      </c>
      <c r="H5" s="3422"/>
      <c r="I5" s="3421" t="s">
        <v>1676</v>
      </c>
      <c r="J5" s="3422"/>
      <c r="K5" s="537"/>
      <c r="L5" s="2485"/>
      <c r="M5" s="2486"/>
      <c r="N5" s="2486"/>
      <c r="O5" s="2486"/>
      <c r="P5" s="3409"/>
      <c r="Q5" s="3410"/>
      <c r="R5" s="3415"/>
      <c r="S5" s="3416"/>
      <c r="T5" s="3415"/>
      <c r="U5" s="3416"/>
      <c r="V5" s="3389"/>
      <c r="W5" s="3389"/>
      <c r="X5" s="1265"/>
      <c r="Y5" s="3415"/>
      <c r="Z5" s="3416"/>
      <c r="AA5" s="3401"/>
      <c r="AB5" s="3389"/>
      <c r="AC5" s="3401"/>
    </row>
    <row r="6" spans="1:29" ht="15.75" thickBot="1">
      <c r="A6" s="350"/>
      <c r="B6" s="351"/>
      <c r="C6" s="3419" t="s">
        <v>1677</v>
      </c>
      <c r="D6" s="3420"/>
      <c r="E6" s="3426" t="s">
        <v>1677</v>
      </c>
      <c r="F6" s="3427"/>
      <c r="G6" s="3419" t="s">
        <v>1677</v>
      </c>
      <c r="H6" s="3420"/>
      <c r="I6" s="3419" t="s">
        <v>1677</v>
      </c>
      <c r="J6" s="3420"/>
      <c r="K6" s="537" t="s">
        <v>1678</v>
      </c>
      <c r="L6" s="2485"/>
      <c r="M6" s="2486"/>
      <c r="N6" s="2486"/>
      <c r="O6" s="2486"/>
      <c r="P6" s="3411"/>
      <c r="Q6" s="3412"/>
      <c r="R6" s="3415"/>
      <c r="S6" s="3416"/>
      <c r="T6" s="3417"/>
      <c r="U6" s="3418"/>
      <c r="V6" s="3389"/>
      <c r="W6" s="3389"/>
      <c r="X6" s="1265"/>
      <c r="Y6" s="3417"/>
      <c r="Z6" s="3418"/>
      <c r="AA6" s="3402"/>
      <c r="AB6" s="3389"/>
      <c r="AC6" s="3402"/>
    </row>
    <row r="7" spans="1:29" s="102" customFormat="1" ht="15.75" thickBot="1">
      <c r="A7" s="352" t="s">
        <v>1679</v>
      </c>
      <c r="B7" s="353"/>
      <c r="C7" s="354">
        <f>'数据-取费表'!B2</f>
        <v>45247</v>
      </c>
      <c r="D7" s="355">
        <v>100</v>
      </c>
      <c r="E7" s="356">
        <f>案例!J8</f>
        <v>44884</v>
      </c>
      <c r="F7" s="357">
        <f>SUMIF(58:58,YEAR(E7)&amp;"-"&amp;MONTH(E7),59:59)</f>
        <v>104</v>
      </c>
      <c r="G7" s="356">
        <f>案例!J9</f>
        <v>44881</v>
      </c>
      <c r="H7" s="355">
        <f>SUMIF(58:58,YEAR(G7)&amp;"-"&amp;MONTH(G7),59:59)</f>
        <v>104</v>
      </c>
      <c r="I7" s="356">
        <f>案例!J10</f>
        <v>44825</v>
      </c>
      <c r="J7" s="355">
        <f>SUMIF(58:58,YEAR(I7)&amp;"-"&amp;MONTH(I7),59:59)</f>
        <v>102</v>
      </c>
      <c r="K7" s="38"/>
      <c r="L7" s="2487"/>
      <c r="M7" s="2438"/>
      <c r="N7" s="2438"/>
      <c r="O7" s="2438"/>
      <c r="P7" s="3423" t="s">
        <v>1680</v>
      </c>
      <c r="Q7" s="3425"/>
      <c r="R7" s="664" t="s">
        <v>14</v>
      </c>
      <c r="S7" s="665">
        <f t="shared" ref="S7:S15" si="0">F7</f>
        <v>104</v>
      </c>
      <c r="T7" s="664" t="s">
        <v>14</v>
      </c>
      <c r="U7" s="665">
        <f t="shared" ref="U7:U15" si="1">H7</f>
        <v>104</v>
      </c>
      <c r="V7" s="664" t="s">
        <v>14</v>
      </c>
      <c r="W7" s="665">
        <f t="shared" ref="W7:W15" si="2">J7</f>
        <v>102</v>
      </c>
      <c r="X7" s="666"/>
      <c r="Y7" s="3423" t="s">
        <v>1680</v>
      </c>
      <c r="Z7" s="3424"/>
      <c r="AA7" s="50">
        <f>D7/F7</f>
        <v>0.96153846153846156</v>
      </c>
      <c r="AB7" s="50">
        <f>D7/H7</f>
        <v>0.96153846153846156</v>
      </c>
      <c r="AC7" s="50">
        <f>D7/J7</f>
        <v>0.98039215686274506</v>
      </c>
    </row>
    <row r="8" spans="1:29" s="102" customFormat="1" ht="15.75" thickBot="1">
      <c r="A8" s="352" t="s">
        <v>1681</v>
      </c>
      <c r="B8" s="353"/>
      <c r="C8" s="358" t="s">
        <v>3456</v>
      </c>
      <c r="D8" s="355">
        <v>100</v>
      </c>
      <c r="E8" s="358" t="s">
        <v>3456</v>
      </c>
      <c r="F8" s="357">
        <f>SUMIF(61:61,E8,62:62)-SUMIF(61:61,C8,62:62)+100</f>
        <v>100</v>
      </c>
      <c r="G8" s="358" t="s">
        <v>3456</v>
      </c>
      <c r="H8" s="355">
        <f>SUMIF(61:61,G8,62:62)-SUMIF(61:61,C8,62:62)+100</f>
        <v>100</v>
      </c>
      <c r="I8" s="358" t="s">
        <v>3456</v>
      </c>
      <c r="J8" s="355">
        <f>SUMIF(61:61,I8,62:62)-SUMIF(61:61,C8,62:62)+100</f>
        <v>100</v>
      </c>
      <c r="K8" s="38"/>
      <c r="L8" s="2487"/>
      <c r="M8" s="2438"/>
      <c r="N8" s="2438"/>
      <c r="O8" s="2438"/>
      <c r="P8" s="3423" t="s">
        <v>1683</v>
      </c>
      <c r="Q8" s="3424"/>
      <c r="R8" s="664" t="s">
        <v>14</v>
      </c>
      <c r="S8" s="665">
        <f t="shared" si="0"/>
        <v>100</v>
      </c>
      <c r="T8" s="664" t="s">
        <v>14</v>
      </c>
      <c r="U8" s="665">
        <f t="shared" si="1"/>
        <v>100</v>
      </c>
      <c r="V8" s="664" t="s">
        <v>14</v>
      </c>
      <c r="W8" s="665">
        <f t="shared" si="2"/>
        <v>100</v>
      </c>
      <c r="X8" s="666"/>
      <c r="Y8" s="3423" t="s">
        <v>1683</v>
      </c>
      <c r="Z8" s="3424"/>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399"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7">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8"/>
      <c r="M10" s="2489"/>
      <c r="N10" s="2489"/>
      <c r="O10" s="2489"/>
      <c r="P10" s="3399"/>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99"/>
      <c r="Q11" s="530" t="str">
        <f t="shared" si="6"/>
        <v>容积率</v>
      </c>
      <c r="R11" s="664" t="s">
        <v>14</v>
      </c>
      <c r="S11" s="665">
        <f t="shared" si="0"/>
        <v>100</v>
      </c>
      <c r="T11" s="664" t="s">
        <v>14</v>
      </c>
      <c r="U11" s="665">
        <f t="shared" si="1"/>
        <v>100</v>
      </c>
      <c r="V11" s="664" t="s">
        <v>14</v>
      </c>
      <c r="W11" s="665">
        <f t="shared" si="2"/>
        <v>100</v>
      </c>
      <c r="X11" s="666"/>
      <c r="Y11" s="3263"/>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399"/>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9"/>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9"/>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50">
        <f t="shared" si="5"/>
        <v>1</v>
      </c>
    </row>
    <row r="15" spans="1:29" ht="33.75" customHeight="1">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397" t="s">
        <v>1691</v>
      </c>
      <c r="Q15" s="1263" t="str">
        <f t="shared" si="6"/>
        <v>商业繁华度</v>
      </c>
      <c r="R15" s="667" t="s">
        <v>14</v>
      </c>
      <c r="S15" s="668">
        <f t="shared" si="0"/>
        <v>100</v>
      </c>
      <c r="T15" s="667" t="s">
        <v>14</v>
      </c>
      <c r="U15" s="668">
        <f t="shared" si="1"/>
        <v>100</v>
      </c>
      <c r="V15" s="667" t="s">
        <v>14</v>
      </c>
      <c r="W15" s="668">
        <f t="shared" si="2"/>
        <v>100</v>
      </c>
      <c r="X15" s="1265"/>
      <c r="Y15" s="3390"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398"/>
      <c r="Q16" s="1263"/>
      <c r="R16" s="667"/>
      <c r="S16" s="668"/>
      <c r="T16" s="667"/>
      <c r="U16" s="668"/>
      <c r="V16" s="667"/>
      <c r="W16" s="668"/>
      <c r="X16" s="1265"/>
      <c r="Y16" s="3391"/>
      <c r="Z16" s="1264"/>
      <c r="AA16" s="1264">
        <v>1</v>
      </c>
      <c r="AB16" s="1264">
        <v>1</v>
      </c>
      <c r="AC16" s="1264">
        <v>1</v>
      </c>
    </row>
    <row r="17" spans="1:29" ht="34.5" customHeight="1">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398"/>
      <c r="Q17" s="1263" t="str">
        <f>B17</f>
        <v>交通便捷度</v>
      </c>
      <c r="R17" s="667" t="s">
        <v>14</v>
      </c>
      <c r="S17" s="668">
        <f>F17</f>
        <v>100</v>
      </c>
      <c r="T17" s="667" t="s">
        <v>14</v>
      </c>
      <c r="U17" s="668">
        <f>H17</f>
        <v>100</v>
      </c>
      <c r="V17" s="667" t="s">
        <v>14</v>
      </c>
      <c r="W17" s="668">
        <f>J17</f>
        <v>100</v>
      </c>
      <c r="X17" s="1265"/>
      <c r="Y17" s="339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398"/>
      <c r="Q18" s="1263"/>
      <c r="R18" s="667"/>
      <c r="S18" s="668"/>
      <c r="T18" s="667"/>
      <c r="U18" s="668"/>
      <c r="V18" s="667"/>
      <c r="W18" s="668"/>
      <c r="X18" s="1265"/>
      <c r="Y18" s="3391"/>
      <c r="Z18" s="1264"/>
      <c r="AA18" s="1264">
        <v>1</v>
      </c>
      <c r="AB18" s="1264">
        <v>1</v>
      </c>
      <c r="AC18" s="1264">
        <v>1</v>
      </c>
    </row>
    <row r="19" spans="1:29" ht="23.25" customHeight="1">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398"/>
      <c r="Q19" s="1263" t="str">
        <f>B19</f>
        <v>公共配套设施</v>
      </c>
      <c r="R19" s="667" t="s">
        <v>14</v>
      </c>
      <c r="S19" s="668">
        <f>F19</f>
        <v>100</v>
      </c>
      <c r="T19" s="667" t="s">
        <v>14</v>
      </c>
      <c r="U19" s="668">
        <f>H19</f>
        <v>100</v>
      </c>
      <c r="V19" s="667" t="s">
        <v>14</v>
      </c>
      <c r="W19" s="668">
        <f>J19</f>
        <v>100</v>
      </c>
      <c r="X19" s="1265"/>
      <c r="Y19" s="339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398"/>
      <c r="Q20" s="1263"/>
      <c r="R20" s="667"/>
      <c r="S20" s="668"/>
      <c r="T20" s="667"/>
      <c r="U20" s="668"/>
      <c r="V20" s="667"/>
      <c r="W20" s="668"/>
      <c r="X20" s="1265"/>
      <c r="Y20" s="3391"/>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398"/>
      <c r="Q21" s="1263" t="str">
        <f>B21</f>
        <v>基础设施水平</v>
      </c>
      <c r="R21" s="667" t="s">
        <v>14</v>
      </c>
      <c r="S21" s="668">
        <f>F21</f>
        <v>100</v>
      </c>
      <c r="T21" s="667" t="s">
        <v>14</v>
      </c>
      <c r="U21" s="668">
        <f>H21</f>
        <v>100</v>
      </c>
      <c r="V21" s="667" t="s">
        <v>14</v>
      </c>
      <c r="W21" s="668">
        <f>J21</f>
        <v>100</v>
      </c>
      <c r="X21" s="1265"/>
      <c r="Y21" s="339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398"/>
      <c r="Q22" s="1263"/>
      <c r="R22" s="667"/>
      <c r="S22" s="668"/>
      <c r="T22" s="667"/>
      <c r="U22" s="668"/>
      <c r="V22" s="667"/>
      <c r="W22" s="668"/>
      <c r="X22" s="1265"/>
      <c r="Y22" s="3391"/>
      <c r="Z22" s="1264"/>
      <c r="AA22" s="1264">
        <v>1</v>
      </c>
      <c r="AB22" s="1264">
        <v>1</v>
      </c>
      <c r="AC22" s="1264">
        <v>1</v>
      </c>
    </row>
    <row r="23" spans="1:29" ht="39.75" customHeight="1">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398"/>
      <c r="Q23" s="1263" t="str">
        <f>B23</f>
        <v>自然及人文环境</v>
      </c>
      <c r="R23" s="667" t="s">
        <v>14</v>
      </c>
      <c r="S23" s="668">
        <f>F23</f>
        <v>100</v>
      </c>
      <c r="T23" s="667" t="s">
        <v>14</v>
      </c>
      <c r="U23" s="668">
        <f>H23</f>
        <v>100</v>
      </c>
      <c r="V23" s="667" t="s">
        <v>14</v>
      </c>
      <c r="W23" s="668">
        <f>J23</f>
        <v>100</v>
      </c>
      <c r="X23" s="1265"/>
      <c r="Y23" s="3391"/>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398"/>
      <c r="Q24" s="1263"/>
      <c r="R24" s="667"/>
      <c r="S24" s="668"/>
      <c r="T24" s="667"/>
      <c r="U24" s="668"/>
      <c r="V24" s="667"/>
      <c r="W24" s="668"/>
      <c r="X24" s="1265"/>
      <c r="Y24" s="3391"/>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398"/>
      <c r="Q25" s="1263" t="str">
        <f t="shared" ref="Q25:Q46" si="11">B25</f>
        <v>临街状况</v>
      </c>
      <c r="R25" s="667" t="s">
        <v>14</v>
      </c>
      <c r="S25" s="668">
        <f>F25</f>
        <v>100</v>
      </c>
      <c r="T25" s="667" t="s">
        <v>14</v>
      </c>
      <c r="U25" s="668">
        <f>H25</f>
        <v>100</v>
      </c>
      <c r="V25" s="667" t="s">
        <v>14</v>
      </c>
      <c r="W25" s="668">
        <f>J25</f>
        <v>100</v>
      </c>
      <c r="X25" s="1265"/>
      <c r="Y25" s="3391"/>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398"/>
      <c r="Q26" s="1263" t="str">
        <f t="shared" si="11"/>
        <v>平面位置/可视性</v>
      </c>
      <c r="R26" s="667" t="s">
        <v>14</v>
      </c>
      <c r="S26" s="668">
        <f>F26</f>
        <v>100</v>
      </c>
      <c r="T26" s="667" t="s">
        <v>14</v>
      </c>
      <c r="U26" s="668">
        <f>H26</f>
        <v>100</v>
      </c>
      <c r="V26" s="667" t="s">
        <v>14</v>
      </c>
      <c r="W26" s="668">
        <f>J26</f>
        <v>100</v>
      </c>
      <c r="X26" s="1265"/>
      <c r="Y26" s="3391"/>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8"/>
      <c r="N27" s="2438"/>
      <c r="O27" s="2438"/>
      <c r="P27" s="3398"/>
      <c r="Q27" s="530" t="str">
        <f t="shared" si="11"/>
        <v>人流量</v>
      </c>
      <c r="R27" s="664" t="s">
        <v>14</v>
      </c>
      <c r="S27" s="665">
        <f>F27</f>
        <v>100</v>
      </c>
      <c r="T27" s="664" t="s">
        <v>14</v>
      </c>
      <c r="U27" s="665">
        <f>H27</f>
        <v>100</v>
      </c>
      <c r="V27" s="664" t="s">
        <v>14</v>
      </c>
      <c r="W27" s="665">
        <f>J27</f>
        <v>100</v>
      </c>
      <c r="X27" s="666"/>
      <c r="Y27" s="3391"/>
      <c r="Z27" s="50" t="str">
        <f>Q27</f>
        <v>人流量</v>
      </c>
      <c r="AA27" s="1264">
        <f>D27/F27</f>
        <v>1</v>
      </c>
      <c r="AB27" s="1264">
        <f>D27/H27</f>
        <v>1</v>
      </c>
      <c r="AC27" s="1264">
        <f>D27/J27</f>
        <v>1</v>
      </c>
    </row>
    <row r="28" spans="1:29" ht="15">
      <c r="A28" s="367"/>
      <c r="B28" s="364" t="s">
        <v>1783</v>
      </c>
      <c r="C28" s="542" t="s">
        <v>3395</v>
      </c>
      <c r="D28" s="374">
        <v>100</v>
      </c>
      <c r="E28" s="542" t="s">
        <v>3397</v>
      </c>
      <c r="F28" s="400">
        <f>SUMIF(92:92,E28,93:93)-SUMIF(92:92,C28,93:93)+100</f>
        <v>98</v>
      </c>
      <c r="G28" s="542" t="s">
        <v>3395</v>
      </c>
      <c r="H28" s="374">
        <f>SUMIF(92:92,G28,93:93)-SUMIF(92:92,C28,93:93)+100</f>
        <v>100</v>
      </c>
      <c r="I28" s="542" t="s">
        <v>3395</v>
      </c>
      <c r="J28" s="374">
        <f>SUMIF(92:92,I28,93:93)-SUMIF(92:92,C28,93:93)+100</f>
        <v>100</v>
      </c>
      <c r="K28" s="539"/>
      <c r="L28" s="2491"/>
      <c r="M28" s="2486"/>
      <c r="N28" s="2486"/>
      <c r="O28" s="2486"/>
      <c r="P28" s="3398"/>
      <c r="Q28" s="1263" t="str">
        <f t="shared" si="11"/>
        <v>楼层</v>
      </c>
      <c r="R28" s="667" t="s">
        <v>14</v>
      </c>
      <c r="S28" s="668">
        <f t="shared" ref="S28:S46" si="12">F28</f>
        <v>98</v>
      </c>
      <c r="T28" s="667" t="s">
        <v>14</v>
      </c>
      <c r="U28" s="668">
        <f t="shared" ref="U28:U46" si="13">H28</f>
        <v>100</v>
      </c>
      <c r="V28" s="667" t="s">
        <v>14</v>
      </c>
      <c r="W28" s="668">
        <f t="shared" ref="W28:W46" si="14">J28</f>
        <v>100</v>
      </c>
      <c r="X28" s="1265"/>
      <c r="Y28" s="3391"/>
      <c r="Z28" s="1264" t="str">
        <f t="shared" ref="Z28:Z46" si="15">Q28</f>
        <v>楼层</v>
      </c>
      <c r="AA28" s="1264">
        <f t="shared" si="3"/>
        <v>1.0204081632653061</v>
      </c>
      <c r="AB28" s="1264">
        <f t="shared" si="4"/>
        <v>1</v>
      </c>
      <c r="AC28" s="1264">
        <f t="shared" si="5"/>
        <v>1</v>
      </c>
    </row>
    <row r="29" spans="1:29" ht="15">
      <c r="A29" s="367"/>
      <c r="B29" s="3164" t="s">
        <v>3449</v>
      </c>
      <c r="C29" s="3165" t="s">
        <v>3450</v>
      </c>
      <c r="D29" s="374">
        <v>100</v>
      </c>
      <c r="E29" s="3165" t="s">
        <v>3450</v>
      </c>
      <c r="F29" s="400">
        <f>SUMIF(94:94,E29,95:95)-SUMIF(94:94,C29,95:95)+100</f>
        <v>100</v>
      </c>
      <c r="G29" s="3165" t="s">
        <v>3450</v>
      </c>
      <c r="H29" s="374">
        <f>SUMIF(94:94,G29,95:95)-SUMIF(94:94,C29,95:95)+100</f>
        <v>100</v>
      </c>
      <c r="I29" s="3165" t="s">
        <v>3450</v>
      </c>
      <c r="J29" s="374">
        <f>SUMIF(94:94,I29,95:95)-SUMIF(94:94,C29,95:95)+100</f>
        <v>100</v>
      </c>
      <c r="K29" s="539"/>
      <c r="L29" s="2491"/>
      <c r="M29" s="2486"/>
      <c r="N29" s="2486"/>
      <c r="O29" s="2486"/>
      <c r="P29" s="3398"/>
      <c r="Q29" s="1263" t="str">
        <f t="shared" si="11"/>
        <v>朝向</v>
      </c>
      <c r="R29" s="667" t="s">
        <v>14</v>
      </c>
      <c r="S29" s="668">
        <f t="shared" si="12"/>
        <v>100</v>
      </c>
      <c r="T29" s="667" t="s">
        <v>14</v>
      </c>
      <c r="U29" s="668">
        <f t="shared" si="13"/>
        <v>100</v>
      </c>
      <c r="V29" s="667" t="s">
        <v>14</v>
      </c>
      <c r="W29" s="668">
        <f t="shared" si="14"/>
        <v>100</v>
      </c>
      <c r="X29" s="1265"/>
      <c r="Y29" s="3391"/>
      <c r="Z29" s="1264" t="str">
        <f t="shared" si="15"/>
        <v>朝向</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98"/>
      <c r="Q30" s="1263">
        <f t="shared" si="11"/>
        <v>111</v>
      </c>
      <c r="R30" s="667" t="s">
        <v>14</v>
      </c>
      <c r="S30" s="668">
        <f t="shared" si="12"/>
        <v>100</v>
      </c>
      <c r="T30" s="667" t="s">
        <v>14</v>
      </c>
      <c r="U30" s="668">
        <f t="shared" si="13"/>
        <v>100</v>
      </c>
      <c r="V30" s="667" t="s">
        <v>14</v>
      </c>
      <c r="W30" s="668">
        <f t="shared" si="14"/>
        <v>100</v>
      </c>
      <c r="X30" s="1265"/>
      <c r="Y30" s="3391"/>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98"/>
      <c r="Q31" s="1263">
        <f t="shared" si="11"/>
        <v>111</v>
      </c>
      <c r="R31" s="667" t="s">
        <v>14</v>
      </c>
      <c r="S31" s="668">
        <f t="shared" si="12"/>
        <v>100</v>
      </c>
      <c r="T31" s="667" t="s">
        <v>14</v>
      </c>
      <c r="U31" s="668">
        <f t="shared" si="13"/>
        <v>100</v>
      </c>
      <c r="V31" s="667" t="s">
        <v>14</v>
      </c>
      <c r="W31" s="668">
        <f t="shared" si="14"/>
        <v>100</v>
      </c>
      <c r="X31" s="1265"/>
      <c r="Y31" s="3391"/>
      <c r="Z31" s="1264">
        <f t="shared" si="15"/>
        <v>111</v>
      </c>
      <c r="AA31" s="1264">
        <f t="shared" si="3"/>
        <v>1</v>
      </c>
      <c r="AB31" s="1264">
        <f t="shared" si="4"/>
        <v>1</v>
      </c>
      <c r="AC31" s="1264">
        <f t="shared" si="5"/>
        <v>1</v>
      </c>
    </row>
    <row r="32" spans="1:29" ht="15">
      <c r="A32" s="379" t="s">
        <v>1694</v>
      </c>
      <c r="B32" s="60" t="s">
        <v>1784</v>
      </c>
      <c r="C32" s="1764" t="s">
        <v>3414</v>
      </c>
      <c r="D32" s="405">
        <v>100</v>
      </c>
      <c r="E32" s="1764" t="s">
        <v>3414</v>
      </c>
      <c r="F32" s="400">
        <f>SUMIF(100:100,E32,101:101)-SUMIF(100:100,C32,101:101)+100</f>
        <v>100</v>
      </c>
      <c r="G32" s="1764" t="s">
        <v>3414</v>
      </c>
      <c r="H32" s="374">
        <f>SUMIF(100:100,G32,101:101)-SUMIF(100:100,C32,101:101)+100</f>
        <v>100</v>
      </c>
      <c r="I32" s="1764" t="s">
        <v>3414</v>
      </c>
      <c r="J32" s="405">
        <f>SUMIF(100:100,I32,101:101)-SUMIF(100:100,C32,101:101)+100</f>
        <v>100</v>
      </c>
      <c r="K32" s="538"/>
      <c r="L32" s="2491"/>
      <c r="M32" s="2486"/>
      <c r="N32" s="2486"/>
      <c r="O32" s="2486"/>
      <c r="P32" s="3392" t="s">
        <v>1696</v>
      </c>
      <c r="Q32" s="1263" t="str">
        <f t="shared" si="11"/>
        <v>商业类型</v>
      </c>
      <c r="R32" s="667" t="s">
        <v>14</v>
      </c>
      <c r="S32" s="668">
        <f t="shared" si="12"/>
        <v>100</v>
      </c>
      <c r="T32" s="667" t="s">
        <v>14</v>
      </c>
      <c r="U32" s="668">
        <f t="shared" si="13"/>
        <v>100</v>
      </c>
      <c r="V32" s="667" t="s">
        <v>14</v>
      </c>
      <c r="W32" s="668">
        <f t="shared" si="14"/>
        <v>100</v>
      </c>
      <c r="X32" s="1265"/>
      <c r="Y32" s="3395" t="s">
        <v>1696</v>
      </c>
      <c r="Z32" s="1264" t="str">
        <f t="shared" si="15"/>
        <v>商业类型</v>
      </c>
      <c r="AA32" s="1264">
        <f t="shared" si="3"/>
        <v>1</v>
      </c>
      <c r="AB32" s="1264">
        <f t="shared" si="4"/>
        <v>1</v>
      </c>
      <c r="AC32" s="1264">
        <f t="shared" si="5"/>
        <v>1</v>
      </c>
    </row>
    <row r="33" spans="1:29" s="408" customFormat="1" ht="15">
      <c r="A33" s="406"/>
      <c r="B33" s="364" t="s">
        <v>1697</v>
      </c>
      <c r="C33" s="407">
        <f>'数据-汇总表'!F19</f>
        <v>69.63</v>
      </c>
      <c r="D33" s="119">
        <v>100</v>
      </c>
      <c r="E33" s="369">
        <f>案例!D8</f>
        <v>68.59</v>
      </c>
      <c r="F33" s="364">
        <f>LOOKUP(E33,103:103,104:104)-LOOKUP(C33,103:103,104:104)+100</f>
        <v>100</v>
      </c>
      <c r="G33" s="368">
        <f>案例!D9</f>
        <v>69.349999999999994</v>
      </c>
      <c r="H33" s="119">
        <f>LOOKUP(G33,103:103,104:104)-LOOKUP(C33,103:103,104:104)+100</f>
        <v>100</v>
      </c>
      <c r="I33" s="368">
        <f>案例!D10</f>
        <v>68.03</v>
      </c>
      <c r="J33" s="119">
        <f>LOOKUP(I33,103:103,104:104)-LOOKUP(C33,103:103,104:104)+100</f>
        <v>100</v>
      </c>
      <c r="K33" s="539"/>
      <c r="L33" s="2490"/>
      <c r="M33" s="2492"/>
      <c r="N33" s="2492"/>
      <c r="O33" s="2492"/>
      <c r="P33" s="3393"/>
      <c r="Q33" s="531" t="str">
        <f t="shared" si="11"/>
        <v>项目建筑规模</v>
      </c>
      <c r="R33" s="669" t="s">
        <v>14</v>
      </c>
      <c r="S33" s="670">
        <f t="shared" si="12"/>
        <v>100</v>
      </c>
      <c r="T33" s="669" t="s">
        <v>14</v>
      </c>
      <c r="U33" s="670">
        <f t="shared" si="13"/>
        <v>100</v>
      </c>
      <c r="V33" s="669" t="s">
        <v>14</v>
      </c>
      <c r="W33" s="670">
        <f t="shared" si="14"/>
        <v>100</v>
      </c>
      <c r="X33" s="671"/>
      <c r="Y33" s="3395"/>
      <c r="Z33" s="672" t="str">
        <f t="shared" si="15"/>
        <v>项目建筑规模</v>
      </c>
      <c r="AA33" s="1264">
        <f t="shared" si="3"/>
        <v>1</v>
      </c>
      <c r="AB33" s="1264">
        <f t="shared" si="4"/>
        <v>1</v>
      </c>
      <c r="AC33" s="1264">
        <f t="shared" si="5"/>
        <v>1</v>
      </c>
    </row>
    <row r="34" spans="1:29" ht="15">
      <c r="A34" s="409"/>
      <c r="B34" s="364" t="s">
        <v>1698</v>
      </c>
      <c r="C34" s="399" t="s">
        <v>3420</v>
      </c>
      <c r="D34" s="374">
        <v>100</v>
      </c>
      <c r="E34" s="399" t="s">
        <v>3420</v>
      </c>
      <c r="F34" s="400">
        <f>SUMIF(105:105,E34,106:106)-SUMIF(105:105,C34,106:106)+100</f>
        <v>100</v>
      </c>
      <c r="G34" s="399" t="s">
        <v>3420</v>
      </c>
      <c r="H34" s="374">
        <f>SUMIF(105:105,G34,106:106)-SUMIF(105:105,C34,106:106)+100</f>
        <v>100</v>
      </c>
      <c r="I34" s="399" t="s">
        <v>3420</v>
      </c>
      <c r="J34" s="374">
        <f>SUMIF(105:105,I34,106:106)-SUMIF(105:105,C34,106:106)+100</f>
        <v>100</v>
      </c>
      <c r="K34" s="538"/>
      <c r="L34" s="2491"/>
      <c r="M34" s="2486"/>
      <c r="N34" s="2486"/>
      <c r="O34" s="2486"/>
      <c r="P34" s="3393"/>
      <c r="Q34" s="1263" t="str">
        <f t="shared" si="11"/>
        <v>建筑结构</v>
      </c>
      <c r="R34" s="667" t="s">
        <v>14</v>
      </c>
      <c r="S34" s="668">
        <f t="shared" si="12"/>
        <v>100</v>
      </c>
      <c r="T34" s="667" t="s">
        <v>14</v>
      </c>
      <c r="U34" s="668">
        <f t="shared" si="13"/>
        <v>100</v>
      </c>
      <c r="V34" s="667" t="s">
        <v>14</v>
      </c>
      <c r="W34" s="668">
        <f t="shared" si="14"/>
        <v>100</v>
      </c>
      <c r="X34" s="1265"/>
      <c r="Y34" s="3395"/>
      <c r="Z34" s="1264" t="str">
        <f t="shared" si="15"/>
        <v>建筑结构</v>
      </c>
      <c r="AA34" s="1264">
        <f t="shared" si="3"/>
        <v>1</v>
      </c>
      <c r="AB34" s="1264">
        <f t="shared" si="4"/>
        <v>1</v>
      </c>
      <c r="AC34" s="1264">
        <f t="shared" si="5"/>
        <v>1</v>
      </c>
    </row>
    <row r="35" spans="1:29" ht="15">
      <c r="A35" s="409"/>
      <c r="B35" s="364" t="s">
        <v>1785</v>
      </c>
      <c r="C35" s="1760" t="s">
        <v>3437</v>
      </c>
      <c r="D35" s="374">
        <v>100</v>
      </c>
      <c r="E35" s="1760" t="s">
        <v>3437</v>
      </c>
      <c r="F35" s="400">
        <f>SUMIF(107:107,E35,108:108)-SUMIF(107:107,C35,108:108)+100</f>
        <v>100</v>
      </c>
      <c r="G35" s="1760" t="s">
        <v>3437</v>
      </c>
      <c r="H35" s="374">
        <f>SUMIF(107:107,G35,108:108)-SUMIF(107:107,C35,108:108)+100</f>
        <v>100</v>
      </c>
      <c r="I35" s="1760" t="s">
        <v>3437</v>
      </c>
      <c r="J35" s="374">
        <f>SUMIF(107:107,I35,108:108)-SUMIF(107:107,C35,108:108)+100</f>
        <v>100</v>
      </c>
      <c r="K35" s="538"/>
      <c r="L35" s="2491"/>
      <c r="M35" s="2486"/>
      <c r="N35" s="2486"/>
      <c r="O35" s="2486"/>
      <c r="P35" s="3393"/>
      <c r="Q35" s="1263" t="str">
        <f t="shared" si="11"/>
        <v>公共部分装修</v>
      </c>
      <c r="R35" s="667" t="s">
        <v>14</v>
      </c>
      <c r="S35" s="668">
        <f t="shared" si="12"/>
        <v>100</v>
      </c>
      <c r="T35" s="667" t="s">
        <v>14</v>
      </c>
      <c r="U35" s="668">
        <f t="shared" si="13"/>
        <v>100</v>
      </c>
      <c r="V35" s="667" t="s">
        <v>14</v>
      </c>
      <c r="W35" s="668">
        <f t="shared" si="14"/>
        <v>100</v>
      </c>
      <c r="X35" s="1265"/>
      <c r="Y35" s="3395"/>
      <c r="Z35" s="1264" t="str">
        <f t="shared" si="15"/>
        <v>公共部分装修</v>
      </c>
      <c r="AA35" s="1264">
        <f t="shared" si="3"/>
        <v>1</v>
      </c>
      <c r="AB35" s="1264">
        <f t="shared" si="4"/>
        <v>1</v>
      </c>
      <c r="AC35" s="1264">
        <f t="shared" si="5"/>
        <v>1</v>
      </c>
    </row>
    <row r="36" spans="1:29" ht="15">
      <c r="A36" s="409"/>
      <c r="B36" s="364" t="s">
        <v>1786</v>
      </c>
      <c r="C36" s="411">
        <f>'数据-取费表'!N6</f>
        <v>0.75</v>
      </c>
      <c r="D36" s="374">
        <v>100</v>
      </c>
      <c r="E36" s="411">
        <f>C36</f>
        <v>0.75</v>
      </c>
      <c r="F36" s="400">
        <f>LOOKUP(E36,110:110,111:111)-LOOKUP(C36,110:110,111:111)+100</f>
        <v>100</v>
      </c>
      <c r="G36" s="411">
        <f>E36</f>
        <v>0.75</v>
      </c>
      <c r="H36" s="400">
        <f>LOOKUP(G36,110:110,111:111)-LOOKUP(C36,110:110,111:111)+100</f>
        <v>100</v>
      </c>
      <c r="I36" s="411">
        <f>G36</f>
        <v>0.75</v>
      </c>
      <c r="J36" s="374">
        <f>LOOKUP(I36,110:110,111:111)-LOOKUP(C36,110:110,111:111)+100</f>
        <v>100</v>
      </c>
      <c r="K36" s="538"/>
      <c r="L36" s="2491"/>
      <c r="M36" s="2486"/>
      <c r="N36" s="2486"/>
      <c r="O36" s="2486"/>
      <c r="P36" s="3393"/>
      <c r="Q36" s="1263" t="str">
        <f t="shared" si="11"/>
        <v>成新度</v>
      </c>
      <c r="R36" s="667" t="s">
        <v>14</v>
      </c>
      <c r="S36" s="668">
        <f t="shared" si="12"/>
        <v>100</v>
      </c>
      <c r="T36" s="667" t="s">
        <v>14</v>
      </c>
      <c r="U36" s="668">
        <f t="shared" si="13"/>
        <v>100</v>
      </c>
      <c r="V36" s="667" t="s">
        <v>14</v>
      </c>
      <c r="W36" s="668">
        <f t="shared" si="14"/>
        <v>100</v>
      </c>
      <c r="X36" s="1265"/>
      <c r="Y36" s="3395"/>
      <c r="Z36" s="1264" t="str">
        <f t="shared" si="15"/>
        <v>成新度</v>
      </c>
      <c r="AA36" s="1264">
        <f t="shared" si="3"/>
        <v>1</v>
      </c>
      <c r="AB36" s="1264">
        <f t="shared" si="4"/>
        <v>1</v>
      </c>
      <c r="AC36" s="1264">
        <f t="shared" si="5"/>
        <v>1</v>
      </c>
    </row>
    <row r="37" spans="1:29" s="102" customFormat="1" ht="15" hidden="1">
      <c r="A37" s="410"/>
      <c r="B37" s="364" t="s">
        <v>1787</v>
      </c>
      <c r="C37" s="1760" t="s">
        <v>3454</v>
      </c>
      <c r="D37" s="119">
        <v>100</v>
      </c>
      <c r="E37" s="1760" t="s">
        <v>3454</v>
      </c>
      <c r="F37" s="400">
        <f>SUMIF(112:112,E37,113:113)-SUMIF(112:112,C37,113:113)+100</f>
        <v>100</v>
      </c>
      <c r="G37" s="1760" t="s">
        <v>3454</v>
      </c>
      <c r="H37" s="374">
        <f>SUMIF(112:112,G37,113:113)-SUMIF(112:112,C37,113:113)+100</f>
        <v>100</v>
      </c>
      <c r="I37" s="1760" t="s">
        <v>3454</v>
      </c>
      <c r="J37" s="374">
        <f>SUMIF(112:112,I37,113:113)-SUMIF(112:112,C37,113:113)+100</f>
        <v>100</v>
      </c>
      <c r="K37" s="538"/>
      <c r="L37" s="2487"/>
      <c r="M37" s="2438"/>
      <c r="N37" s="2438"/>
      <c r="O37" s="2438"/>
      <c r="P37" s="3393"/>
      <c r="Q37" s="530" t="str">
        <f t="shared" si="11"/>
        <v>市政基础设施</v>
      </c>
      <c r="R37" s="664" t="s">
        <v>14</v>
      </c>
      <c r="S37" s="665">
        <f t="shared" si="12"/>
        <v>100</v>
      </c>
      <c r="T37" s="664" t="s">
        <v>14</v>
      </c>
      <c r="U37" s="665">
        <f t="shared" si="13"/>
        <v>100</v>
      </c>
      <c r="V37" s="664" t="s">
        <v>14</v>
      </c>
      <c r="W37" s="665">
        <f t="shared" si="14"/>
        <v>100</v>
      </c>
      <c r="X37" s="666"/>
      <c r="Y37" s="3395"/>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393" t="s">
        <v>1696</v>
      </c>
      <c r="Q38" s="1263" t="str">
        <f t="shared" si="11"/>
        <v>业态</v>
      </c>
      <c r="R38" s="667" t="s">
        <v>14</v>
      </c>
      <c r="S38" s="668">
        <f t="shared" si="12"/>
        <v>100</v>
      </c>
      <c r="T38" s="667" t="s">
        <v>14</v>
      </c>
      <c r="U38" s="668">
        <f t="shared" si="13"/>
        <v>100</v>
      </c>
      <c r="V38" s="667" t="s">
        <v>14</v>
      </c>
      <c r="W38" s="668">
        <f t="shared" si="14"/>
        <v>100</v>
      </c>
      <c r="X38" s="1265"/>
      <c r="Y38" s="3395"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393"/>
      <c r="Q39" s="1263" t="str">
        <f t="shared" si="11"/>
        <v>层高</v>
      </c>
      <c r="R39" s="667" t="s">
        <v>14</v>
      </c>
      <c r="S39" s="668">
        <f t="shared" si="12"/>
        <v>100</v>
      </c>
      <c r="T39" s="667" t="s">
        <v>14</v>
      </c>
      <c r="U39" s="668">
        <f t="shared" si="13"/>
        <v>100</v>
      </c>
      <c r="V39" s="667" t="s">
        <v>14</v>
      </c>
      <c r="W39" s="668">
        <f t="shared" si="14"/>
        <v>100</v>
      </c>
      <c r="X39" s="1265"/>
      <c r="Y39" s="3395"/>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93"/>
      <c r="Q40" s="1263" t="str">
        <f t="shared" si="11"/>
        <v>单套建筑面积</v>
      </c>
      <c r="R40" s="667" t="s">
        <v>14</v>
      </c>
      <c r="S40" s="668">
        <f t="shared" si="12"/>
        <v>100</v>
      </c>
      <c r="T40" s="667" t="s">
        <v>14</v>
      </c>
      <c r="U40" s="668">
        <f t="shared" si="13"/>
        <v>100</v>
      </c>
      <c r="V40" s="667" t="s">
        <v>14</v>
      </c>
      <c r="W40" s="668">
        <f t="shared" si="14"/>
        <v>100</v>
      </c>
      <c r="X40" s="1265"/>
      <c r="Y40" s="3395"/>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93"/>
      <c r="Q41" s="531" t="str">
        <f t="shared" si="11"/>
        <v>进深比</v>
      </c>
      <c r="R41" s="669" t="s">
        <v>14</v>
      </c>
      <c r="S41" s="670">
        <f t="shared" si="12"/>
        <v>100</v>
      </c>
      <c r="T41" s="669" t="s">
        <v>14</v>
      </c>
      <c r="U41" s="670">
        <f t="shared" si="13"/>
        <v>100</v>
      </c>
      <c r="V41" s="669" t="s">
        <v>14</v>
      </c>
      <c r="W41" s="670">
        <f t="shared" si="14"/>
        <v>100</v>
      </c>
      <c r="X41" s="671"/>
      <c r="Y41" s="3395"/>
      <c r="Z41" s="672" t="str">
        <f t="shared" si="15"/>
        <v>进深比</v>
      </c>
      <c r="AA41" s="1264">
        <f t="shared" si="3"/>
        <v>1</v>
      </c>
      <c r="AB41" s="1264">
        <f t="shared" si="4"/>
        <v>1</v>
      </c>
      <c r="AC41" s="1264">
        <f t="shared" si="5"/>
        <v>1</v>
      </c>
    </row>
    <row r="42" spans="1:29" ht="15">
      <c r="A42" s="409"/>
      <c r="B42" s="364" t="s">
        <v>1792</v>
      </c>
      <c r="C42" s="1760" t="s">
        <v>3437</v>
      </c>
      <c r="D42" s="374">
        <v>100</v>
      </c>
      <c r="E42" s="1760" t="s">
        <v>3437</v>
      </c>
      <c r="F42" s="400">
        <f>SUMIF(122:122,E42,123:123)-SUMIF(122:122,C42,123:123)+100</f>
        <v>100</v>
      </c>
      <c r="G42" s="1760" t="s">
        <v>3437</v>
      </c>
      <c r="H42" s="374">
        <f>SUMIF(122:122,G42,123:123)-SUMIF(122:122,C42,123:123)+100</f>
        <v>100</v>
      </c>
      <c r="I42" s="1760" t="s">
        <v>3437</v>
      </c>
      <c r="J42" s="374">
        <f>SUMIF(122:122,I42,123:123)-SUMIF(122:122,C42,123:123)+100</f>
        <v>100</v>
      </c>
      <c r="K42" s="538">
        <v>2</v>
      </c>
      <c r="L42" s="2491"/>
      <c r="M42" s="2486"/>
      <c r="N42" s="2486"/>
      <c r="O42" s="2486"/>
      <c r="P42" s="3393"/>
      <c r="Q42" s="1263" t="str">
        <f t="shared" si="11"/>
        <v>内部装修</v>
      </c>
      <c r="R42" s="667" t="s">
        <v>14</v>
      </c>
      <c r="S42" s="668">
        <f t="shared" si="12"/>
        <v>100</v>
      </c>
      <c r="T42" s="667" t="s">
        <v>14</v>
      </c>
      <c r="U42" s="668">
        <f t="shared" si="13"/>
        <v>100</v>
      </c>
      <c r="V42" s="667" t="s">
        <v>14</v>
      </c>
      <c r="W42" s="668">
        <f t="shared" si="14"/>
        <v>100</v>
      </c>
      <c r="X42" s="1265"/>
      <c r="Y42" s="3395"/>
      <c r="Z42" s="1264" t="str">
        <f t="shared" si="15"/>
        <v>内部装修</v>
      </c>
      <c r="AA42" s="1264">
        <f t="shared" si="3"/>
        <v>1</v>
      </c>
      <c r="AB42" s="1264">
        <f t="shared" si="4"/>
        <v>1</v>
      </c>
      <c r="AC42" s="1264">
        <f t="shared" si="5"/>
        <v>1</v>
      </c>
    </row>
    <row r="43" spans="1:29" ht="15">
      <c r="A43" s="409"/>
      <c r="B43" s="364" t="s">
        <v>1707</v>
      </c>
      <c r="C43" s="1760" t="s">
        <v>3446</v>
      </c>
      <c r="D43" s="374">
        <v>100</v>
      </c>
      <c r="E43" s="1760" t="s">
        <v>3446</v>
      </c>
      <c r="F43" s="400">
        <f>SUMIF(124:124,E43,125:125)-SUMIF(124:124,C43,125:125)+100</f>
        <v>100</v>
      </c>
      <c r="G43" s="1760" t="s">
        <v>3446</v>
      </c>
      <c r="H43" s="374">
        <f>SUMIF(124:124,G43,125:125)-SUMIF(124:124,C43,125:125)+100</f>
        <v>100</v>
      </c>
      <c r="I43" s="1760" t="s">
        <v>3446</v>
      </c>
      <c r="J43" s="374">
        <f>SUMIF(124:124,I43,125:125)-SUMIF(124:124,C43,125:125)+100</f>
        <v>100</v>
      </c>
      <c r="K43" s="538"/>
      <c r="L43" s="2491"/>
      <c r="M43" s="2486"/>
      <c r="N43" s="2486"/>
      <c r="O43" s="2486"/>
      <c r="P43" s="3393"/>
      <c r="Q43" s="1263" t="str">
        <f t="shared" si="11"/>
        <v>内部装修维护情况</v>
      </c>
      <c r="R43" s="667" t="s">
        <v>14</v>
      </c>
      <c r="S43" s="668">
        <f t="shared" si="12"/>
        <v>100</v>
      </c>
      <c r="T43" s="667" t="s">
        <v>14</v>
      </c>
      <c r="U43" s="668">
        <f t="shared" si="13"/>
        <v>100</v>
      </c>
      <c r="V43" s="667" t="s">
        <v>14</v>
      </c>
      <c r="W43" s="668">
        <f t="shared" si="14"/>
        <v>100</v>
      </c>
      <c r="X43" s="1265"/>
      <c r="Y43" s="3395"/>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393"/>
      <c r="Q44" s="530">
        <f t="shared" si="11"/>
        <v>111</v>
      </c>
      <c r="R44" s="664" t="s">
        <v>14</v>
      </c>
      <c r="S44" s="665">
        <f t="shared" si="12"/>
        <v>100</v>
      </c>
      <c r="T44" s="664" t="s">
        <v>14</v>
      </c>
      <c r="U44" s="665">
        <f t="shared" si="13"/>
        <v>100</v>
      </c>
      <c r="V44" s="664" t="s">
        <v>14</v>
      </c>
      <c r="W44" s="665">
        <f t="shared" si="14"/>
        <v>100</v>
      </c>
      <c r="X44" s="666"/>
      <c r="Y44" s="3395"/>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93"/>
      <c r="Q45" s="1263">
        <f t="shared" si="11"/>
        <v>111</v>
      </c>
      <c r="R45" s="667" t="s">
        <v>14</v>
      </c>
      <c r="S45" s="668">
        <f t="shared" si="12"/>
        <v>100</v>
      </c>
      <c r="T45" s="667" t="s">
        <v>14</v>
      </c>
      <c r="U45" s="668">
        <f t="shared" si="13"/>
        <v>100</v>
      </c>
      <c r="V45" s="667" t="s">
        <v>14</v>
      </c>
      <c r="W45" s="668">
        <f t="shared" si="14"/>
        <v>100</v>
      </c>
      <c r="X45" s="1265"/>
      <c r="Y45" s="3395"/>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94"/>
      <c r="Q46" s="1263">
        <f t="shared" si="11"/>
        <v>111</v>
      </c>
      <c r="R46" s="667" t="s">
        <v>14</v>
      </c>
      <c r="S46" s="668">
        <f t="shared" si="12"/>
        <v>100</v>
      </c>
      <c r="T46" s="667" t="s">
        <v>14</v>
      </c>
      <c r="U46" s="668">
        <f t="shared" si="13"/>
        <v>100</v>
      </c>
      <c r="V46" s="667" t="s">
        <v>14</v>
      </c>
      <c r="W46" s="668">
        <f t="shared" si="14"/>
        <v>100</v>
      </c>
      <c r="X46" s="1265"/>
      <c r="Y46" s="3396"/>
      <c r="Z46" s="1264">
        <f t="shared" si="15"/>
        <v>111</v>
      </c>
      <c r="AA46" s="1264">
        <f t="shared" si="3"/>
        <v>1</v>
      </c>
      <c r="AB46" s="1264">
        <f t="shared" si="4"/>
        <v>1</v>
      </c>
      <c r="AC46" s="1264">
        <f t="shared" si="5"/>
        <v>1</v>
      </c>
    </row>
    <row r="47" spans="1:29" ht="15">
      <c r="A47" s="416" t="s">
        <v>1708</v>
      </c>
      <c r="B47" s="417"/>
      <c r="C47" s="1081" t="s">
        <v>0</v>
      </c>
      <c r="D47" s="418"/>
      <c r="E47" s="419">
        <f>案例!G8</f>
        <v>39933</v>
      </c>
      <c r="F47" s="420"/>
      <c r="G47" s="421">
        <f>案例!G9</f>
        <v>41817</v>
      </c>
      <c r="H47" s="422"/>
      <c r="I47" s="419">
        <f>案例!G10</f>
        <v>40203</v>
      </c>
      <c r="J47" s="422"/>
      <c r="K47" s="674"/>
      <c r="L47" s="2493"/>
      <c r="M47" s="2486"/>
      <c r="N47" s="2486"/>
      <c r="O47" s="2486"/>
      <c r="P47" s="3388" t="str">
        <f>A47</f>
        <v>成交单价（元/平方米）</v>
      </c>
      <c r="Q47" s="3388"/>
      <c r="R47" s="3389">
        <f>E47</f>
        <v>39933</v>
      </c>
      <c r="S47" s="3389"/>
      <c r="T47" s="3389">
        <f>G47</f>
        <v>41817</v>
      </c>
      <c r="U47" s="3389"/>
      <c r="V47" s="3389">
        <f>I47</f>
        <v>40203</v>
      </c>
      <c r="W47" s="3389"/>
      <c r="X47" s="385"/>
      <c r="Y47" s="673"/>
      <c r="Z47" s="385"/>
      <c r="AA47" s="385"/>
      <c r="AB47" s="385"/>
      <c r="AC47" s="385"/>
    </row>
    <row r="48" spans="1:29" ht="15.75" thickBot="1">
      <c r="A48" s="423" t="s">
        <v>1793</v>
      </c>
      <c r="B48" s="424"/>
      <c r="C48" s="1082">
        <f>R49</f>
        <v>39602</v>
      </c>
      <c r="D48" s="2140" t="s">
        <v>2138</v>
      </c>
      <c r="E48" s="1083">
        <f>R48</f>
        <v>39181</v>
      </c>
      <c r="F48" s="2141"/>
      <c r="G48" s="1082">
        <f>T48</f>
        <v>40209</v>
      </c>
      <c r="H48" s="2141"/>
      <c r="I48" s="1083">
        <f>V48</f>
        <v>39415</v>
      </c>
      <c r="J48" s="2141"/>
      <c r="K48" s="2143">
        <f>F48+H48+J48</f>
        <v>0</v>
      </c>
      <c r="L48" s="2493"/>
      <c r="M48" s="2486"/>
      <c r="N48" s="2486"/>
      <c r="O48" s="2486"/>
      <c r="P48" s="3388" t="str">
        <f>A48</f>
        <v>比较价值（元/平方米）</v>
      </c>
      <c r="Q48" s="3388"/>
      <c r="R48" s="3389">
        <f>IF(F1="售价",ROUND(PRODUCT(R47,AA7:AA46),0),ROUND(PRODUCT(R47,AA7:AA46),1))</f>
        <v>39181</v>
      </c>
      <c r="S48" s="3389"/>
      <c r="T48" s="3389">
        <f>IF(F1="售价",ROUND(PRODUCT(T47,AB7:AB46),0),ROUND(PRODUCT(T47,AB7:AB46),1))</f>
        <v>40209</v>
      </c>
      <c r="U48" s="3389"/>
      <c r="V48" s="3389">
        <f>IF(F1="售价",ROUND(PRODUCT(V47,AC7:AC46),0),ROUND(PRODUCT(V47,AC7:AC46),1))</f>
        <v>39415</v>
      </c>
      <c r="W48" s="3389"/>
      <c r="X48" s="385"/>
      <c r="Y48" s="385"/>
      <c r="Z48" s="385"/>
      <c r="AA48" s="385"/>
      <c r="AB48" s="385"/>
      <c r="AC48" s="385"/>
    </row>
    <row r="49" spans="1:29" ht="15.75" thickBot="1">
      <c r="A49" s="427" t="s">
        <v>1794</v>
      </c>
      <c r="B49" s="428"/>
      <c r="C49" s="351">
        <f>R49</f>
        <v>39602</v>
      </c>
      <c r="D49" s="351"/>
      <c r="E49" s="351"/>
      <c r="F49" s="351"/>
      <c r="G49" s="351"/>
      <c r="H49" s="351"/>
      <c r="I49" s="351"/>
      <c r="J49" s="351"/>
      <c r="K49" s="675"/>
      <c r="L49" s="2493"/>
      <c r="M49" s="2486"/>
      <c r="N49" s="2486"/>
      <c r="O49" s="2486"/>
      <c r="P49" s="3385" t="str">
        <f>A49</f>
        <v>估价对象XX用房的比较价值（楼面单价，元/平方米）</v>
      </c>
      <c r="Q49" s="3386"/>
      <c r="R49" s="3387">
        <f>IF(F1="售价",ROUND(IF(D48="简单平均",AVERAGE(R48:V48),R48*F48+T48*H48+V48*J48),0),ROUND(IF(D48="简单平均",AVERAGE(R48:V48),R48*F48+T48*H48+V48*J48),1))</f>
        <v>39602</v>
      </c>
      <c r="S49" s="3387"/>
      <c r="T49" s="3387"/>
      <c r="U49" s="3387"/>
      <c r="V49" s="3387"/>
      <c r="W49" s="3387"/>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1.9192976187437871E-2</v>
      </c>
      <c r="F52" s="435" t="str">
        <f>IF(OR(E52&gt;=0.3,E52&lt;=-0.3),"超过30%","")</f>
        <v/>
      </c>
      <c r="G52" s="434">
        <f>IF(G47&lt;G48,G48/G47-1,G47/G48-1)</f>
        <v>3.9991046780571526E-2</v>
      </c>
      <c r="H52" s="435" t="str">
        <f>IF(OR(G52&gt;=0.3,G52&lt;=-0.3),"超过30%","")</f>
        <v/>
      </c>
      <c r="I52" s="434">
        <f>IF(I47&lt;I48,I48/I47-1,I47/I48-1)</f>
        <v>1.9992388684511031E-2</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2.6237206809422986E-2</v>
      </c>
      <c r="F53" s="435" t="str">
        <f>IF(OR(E53&gt;=0.2,E53&lt;=-0.2),"超过20%","")</f>
        <v/>
      </c>
      <c r="G53" s="434">
        <f>IF(G48&lt;I48,I48/G48-1,G48/I48-1)</f>
        <v>2.0144614994291432E-2</v>
      </c>
      <c r="H53" s="435" t="str">
        <f>IF(OR(G53&gt;=0.2,G53&lt;=-0.2),"超过20%","")</f>
        <v/>
      </c>
      <c r="I53" s="434">
        <f>IF(I48&lt;E48,E48/I48-1,I48/E48-1)</f>
        <v>5.972282483857061E-3</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4.7179024866651709E-2</v>
      </c>
      <c r="F54" s="435" t="str">
        <f>IF(OR(E54&gt;=0.3,E54&lt;=-0.3),"超过30%","")</f>
        <v/>
      </c>
      <c r="G54" s="434">
        <f>IF(G47&lt;I47,I47/G47-1,G47/I47-1)</f>
        <v>4.0146257741959568E-2</v>
      </c>
      <c r="H54" s="435" t="str">
        <f>IF(OR(G54&gt;=0.3,G54&lt;=-0.3),"超过30%","")</f>
        <v/>
      </c>
      <c r="I54" s="434">
        <f>IF(I47&lt;E47,E47/I47-1,I47/E47-1)</f>
        <v>6.7613252197431528E-3</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1679</v>
      </c>
      <c r="B58" s="441"/>
      <c r="C58" s="1103" t="str">
        <f>YEAR(C7)&amp;"-"&amp;MONTH(C7)</f>
        <v>2023-11</v>
      </c>
      <c r="D58" s="1104">
        <f>EDATE(C58,-1)</f>
        <v>45200</v>
      </c>
      <c r="E58" s="1104">
        <f t="shared" ref="E58:N58" si="16">EDATE(D58,-1)</f>
        <v>45170</v>
      </c>
      <c r="F58" s="1104">
        <f t="shared" si="16"/>
        <v>45139</v>
      </c>
      <c r="G58" s="1104">
        <f t="shared" si="16"/>
        <v>45108</v>
      </c>
      <c r="H58" s="1104">
        <f t="shared" si="16"/>
        <v>45078</v>
      </c>
      <c r="I58" s="1104">
        <f t="shared" si="16"/>
        <v>45047</v>
      </c>
      <c r="J58" s="1104">
        <f t="shared" si="16"/>
        <v>45017</v>
      </c>
      <c r="K58" s="1104">
        <f t="shared" si="16"/>
        <v>44986</v>
      </c>
      <c r="L58" s="1104">
        <f t="shared" si="16"/>
        <v>44958</v>
      </c>
      <c r="M58" s="1104">
        <f t="shared" si="16"/>
        <v>44927</v>
      </c>
      <c r="N58" s="1104">
        <f t="shared" si="16"/>
        <v>44896</v>
      </c>
      <c r="O58" s="1104">
        <f>EDATE(N58,-1)</f>
        <v>44866</v>
      </c>
      <c r="P58" s="3162">
        <f t="shared" ref="P58:R58" si="17">EDATE(O58,-1)</f>
        <v>44835</v>
      </c>
      <c r="Q58" s="3162">
        <f t="shared" si="17"/>
        <v>44805</v>
      </c>
      <c r="R58" s="3162">
        <f t="shared" si="17"/>
        <v>44774</v>
      </c>
      <c r="S58" s="2508"/>
      <c r="T58" s="2508"/>
      <c r="U58" s="2508"/>
      <c r="V58" s="2508"/>
      <c r="W58" s="2508"/>
      <c r="X58" s="2508"/>
      <c r="Y58" s="2508"/>
      <c r="Z58" s="2508"/>
      <c r="AA58" s="2508"/>
      <c r="AB58" s="2508"/>
      <c r="AC58" s="2508"/>
    </row>
    <row r="59" spans="1:29" s="102" customFormat="1" ht="15">
      <c r="A59" s="443"/>
      <c r="B59" s="444"/>
      <c r="C59" s="1102">
        <v>100</v>
      </c>
      <c r="D59" s="446">
        <v>100</v>
      </c>
      <c r="E59" s="446">
        <v>100</v>
      </c>
      <c r="F59" s="446">
        <v>102</v>
      </c>
      <c r="G59" s="446">
        <f t="shared" ref="G59:M59" si="18">F59</f>
        <v>102</v>
      </c>
      <c r="H59" s="446">
        <f t="shared" si="18"/>
        <v>102</v>
      </c>
      <c r="I59" s="446">
        <f t="shared" si="18"/>
        <v>102</v>
      </c>
      <c r="J59" s="446">
        <f t="shared" si="18"/>
        <v>102</v>
      </c>
      <c r="K59" s="446">
        <f t="shared" si="18"/>
        <v>102</v>
      </c>
      <c r="L59" s="446">
        <f t="shared" si="18"/>
        <v>102</v>
      </c>
      <c r="M59" s="447">
        <f t="shared" si="18"/>
        <v>102</v>
      </c>
      <c r="N59" s="446">
        <v>104</v>
      </c>
      <c r="O59" s="447">
        <v>104</v>
      </c>
      <c r="P59" s="447">
        <v>104</v>
      </c>
      <c r="Q59" s="2438">
        <v>102</v>
      </c>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09"/>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
      <c r="E61" s="31"/>
      <c r="F61" s="31"/>
      <c r="G61" s="31"/>
      <c r="H61" s="31"/>
      <c r="I61" s="31"/>
      <c r="J61" s="31"/>
      <c r="K61" s="31"/>
      <c r="L61" s="457"/>
      <c r="M61" s="458"/>
      <c r="N61" s="2518"/>
      <c r="O61" s="2518"/>
      <c r="P61" s="2510"/>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c r="E62" s="446"/>
      <c r="F62" s="446"/>
      <c r="G62" s="446"/>
      <c r="H62" s="446"/>
      <c r="I62" s="446"/>
      <c r="J62" s="446"/>
      <c r="K62" s="446"/>
      <c r="L62" s="446"/>
      <c r="M62" s="448"/>
      <c r="N62" s="2518"/>
      <c r="O62" s="2518"/>
      <c r="P62" s="2509"/>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19"/>
      <c r="O63" s="2519"/>
      <c r="P63" s="2511"/>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0"/>
      <c r="O64" s="2520"/>
      <c r="P64" s="2511"/>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19"/>
      <c r="O65" s="2519"/>
      <c r="P65" s="2511"/>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0"/>
      <c r="O66" s="2520"/>
      <c r="P66" s="2511"/>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0（含）-1</v>
      </c>
      <c r="D67" s="478" t="str">
        <f t="shared" ref="D67:L67" si="19">D68&amp;"（含）"&amp;"-"&amp;E68</f>
        <v>1（含）-2</v>
      </c>
      <c r="E67" s="478" t="str">
        <f t="shared" si="19"/>
        <v>2（含）-3</v>
      </c>
      <c r="F67" s="478" t="str">
        <f t="shared" si="19"/>
        <v>3（含）-</v>
      </c>
      <c r="G67" s="478" t="str">
        <f t="shared" si="19"/>
        <v>（含）-</v>
      </c>
      <c r="H67" s="478" t="str">
        <f t="shared" si="19"/>
        <v>（含）-</v>
      </c>
      <c r="I67" s="478" t="str">
        <f t="shared" si="19"/>
        <v>（含）-</v>
      </c>
      <c r="J67" s="478" t="str">
        <f t="shared" si="19"/>
        <v>（含）-</v>
      </c>
      <c r="K67" s="478" t="str">
        <f t="shared" si="19"/>
        <v>（含）-</v>
      </c>
      <c r="L67" s="478" t="str">
        <f t="shared" si="19"/>
        <v>（含）-</v>
      </c>
      <c r="M67" s="387" t="str">
        <f>M68&amp;"（含）"&amp;"-"&amp;P68</f>
        <v>（含）-</v>
      </c>
      <c r="N67" s="2520"/>
      <c r="O67" s="2520"/>
      <c r="P67" s="2511"/>
      <c r="Q67" s="2507"/>
      <c r="R67" s="2486"/>
      <c r="S67" s="2486"/>
      <c r="T67" s="2486"/>
      <c r="U67" s="2486"/>
      <c r="V67" s="2486"/>
      <c r="W67" s="2486"/>
      <c r="X67" s="2486"/>
      <c r="Y67" s="2486"/>
      <c r="Z67" s="2486"/>
      <c r="AA67" s="2486"/>
      <c r="AB67" s="2486"/>
      <c r="AC67" s="2486"/>
    </row>
    <row r="68" spans="1:29" ht="15">
      <c r="A68" s="367"/>
      <c r="B68" s="479"/>
      <c r="C68" s="480">
        <v>0</v>
      </c>
      <c r="D68" s="480">
        <v>1</v>
      </c>
      <c r="E68" s="480">
        <v>2</v>
      </c>
      <c r="F68" s="480">
        <v>3</v>
      </c>
      <c r="G68" s="480"/>
      <c r="H68" s="480"/>
      <c r="I68" s="480"/>
      <c r="J68" s="480"/>
      <c r="K68" s="481"/>
      <c r="L68" s="482"/>
      <c r="M68" s="483"/>
      <c r="N68" s="2519"/>
      <c r="O68" s="2519"/>
      <c r="P68" s="2511"/>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20">C69-$K11</f>
        <v>100</v>
      </c>
      <c r="E69" s="475">
        <f t="shared" si="20"/>
        <v>100</v>
      </c>
      <c r="F69" s="475">
        <f t="shared" si="20"/>
        <v>100</v>
      </c>
      <c r="G69" s="475">
        <f t="shared" si="20"/>
        <v>100</v>
      </c>
      <c r="H69" s="475">
        <f t="shared" si="20"/>
        <v>100</v>
      </c>
      <c r="I69" s="475">
        <f t="shared" si="20"/>
        <v>100</v>
      </c>
      <c r="J69" s="475">
        <f t="shared" si="20"/>
        <v>100</v>
      </c>
      <c r="K69" s="475">
        <f t="shared" si="20"/>
        <v>100</v>
      </c>
      <c r="L69" s="475">
        <f t="shared" si="20"/>
        <v>100</v>
      </c>
      <c r="M69" s="476">
        <f t="shared" si="20"/>
        <v>100</v>
      </c>
      <c r="N69" s="2520"/>
      <c r="O69" s="2520"/>
      <c r="P69" s="2511"/>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1"/>
      <c r="O70" s="2521"/>
      <c r="P70" s="2512"/>
      <c r="Q70" s="2513"/>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0"/>
      <c r="O71" s="2520"/>
      <c r="P71" s="2512"/>
      <c r="Q71" s="2513"/>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1"/>
      <c r="O72" s="2521"/>
      <c r="P72" s="2514"/>
      <c r="Q72" s="2515"/>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1"/>
      <c r="O73" s="2521"/>
      <c r="P73" s="2512"/>
      <c r="Q73" s="2513"/>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1"/>
      <c r="O74" s="2521"/>
      <c r="P74" s="2516"/>
      <c r="Q74" s="2513"/>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1"/>
      <c r="O75" s="2521"/>
      <c r="P75" s="2512"/>
      <c r="Q75" s="2513"/>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0"/>
      <c r="O77" s="2520"/>
      <c r="P77" s="2511"/>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0"/>
      <c r="O79" s="2520"/>
      <c r="P79" s="2511"/>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0"/>
      <c r="O81" s="2520"/>
      <c r="P81" s="2511"/>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3"/>
      <c r="N82" s="2520"/>
      <c r="O82" s="2520"/>
      <c r="P82" s="2511"/>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21">D83-$K21</f>
        <v>100</v>
      </c>
      <c r="F83" s="475">
        <f t="shared" si="21"/>
        <v>100</v>
      </c>
      <c r="G83" s="475">
        <f t="shared" si="21"/>
        <v>100</v>
      </c>
      <c r="H83" s="581"/>
      <c r="I83" s="581"/>
      <c r="J83" s="581"/>
      <c r="K83" s="581"/>
      <c r="L83" s="581"/>
      <c r="M83" s="389"/>
      <c r="N83" s="2520"/>
      <c r="O83" s="2520"/>
      <c r="P83" s="2511"/>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0"/>
      <c r="O85" s="2520"/>
      <c r="P85" s="2511"/>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8"/>
      <c r="O86" s="2518"/>
      <c r="P86" s="2511"/>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2">C87-$K25</f>
        <v>100</v>
      </c>
      <c r="E87" s="475">
        <f t="shared" si="22"/>
        <v>100</v>
      </c>
      <c r="F87" s="475">
        <f t="shared" si="22"/>
        <v>100</v>
      </c>
      <c r="G87" s="475">
        <f t="shared" si="22"/>
        <v>100</v>
      </c>
      <c r="H87" s="475">
        <f t="shared" si="22"/>
        <v>100</v>
      </c>
      <c r="I87" s="475">
        <f t="shared" si="22"/>
        <v>100</v>
      </c>
      <c r="J87" s="475">
        <f t="shared" si="22"/>
        <v>100</v>
      </c>
      <c r="K87" s="475">
        <f t="shared" si="22"/>
        <v>100</v>
      </c>
      <c r="L87" s="475">
        <f t="shared" si="22"/>
        <v>100</v>
      </c>
      <c r="M87" s="475">
        <f t="shared" si="22"/>
        <v>100</v>
      </c>
      <c r="N87" s="2520"/>
      <c r="O87" s="2520"/>
      <c r="P87" s="2511"/>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c r="D88" s="485"/>
      <c r="E88" s="485"/>
      <c r="F88" s="1780"/>
      <c r="G88" s="485"/>
      <c r="H88" s="485"/>
      <c r="I88" s="485"/>
      <c r="J88" s="485"/>
      <c r="K88" s="485"/>
      <c r="L88" s="485"/>
      <c r="M88" s="511"/>
      <c r="N88" s="2518"/>
      <c r="O88" s="2518"/>
      <c r="P88" s="2511"/>
      <c r="Q88" s="2507"/>
      <c r="R88" s="2438"/>
      <c r="S88" s="2438"/>
      <c r="T88" s="2438"/>
      <c r="U88" s="2438"/>
      <c r="V88" s="2438"/>
      <c r="W88" s="2438"/>
      <c r="X88" s="2438"/>
      <c r="Y88" s="2438"/>
      <c r="Z88" s="2438"/>
      <c r="AA88" s="2438"/>
      <c r="AB88" s="2438"/>
      <c r="AC88" s="2438"/>
    </row>
    <row r="89" spans="1:29" s="102" customFormat="1" ht="15.75" thickBot="1">
      <c r="A89" s="370"/>
      <c r="B89" s="474"/>
      <c r="C89" s="491"/>
      <c r="D89" s="467"/>
      <c r="E89" s="467"/>
      <c r="F89" s="467"/>
      <c r="G89" s="467"/>
      <c r="H89" s="467"/>
      <c r="I89" s="467"/>
      <c r="J89" s="467"/>
      <c r="K89" s="467"/>
      <c r="L89" s="467"/>
      <c r="M89" s="467"/>
      <c r="N89" s="2520"/>
      <c r="O89" s="2520"/>
      <c r="P89" s="2511"/>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485"/>
      <c r="D90" s="485"/>
      <c r="E90" s="485"/>
      <c r="F90" s="485"/>
      <c r="G90" s="485"/>
      <c r="H90" s="486"/>
      <c r="I90" s="486"/>
      <c r="J90" s="486"/>
      <c r="K90" s="486"/>
      <c r="L90" s="487"/>
      <c r="M90" s="488"/>
      <c r="N90" s="2521"/>
      <c r="O90" s="2521"/>
      <c r="P90" s="2512"/>
      <c r="Q90" s="2513"/>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3">D91-$K27</f>
        <v>100</v>
      </c>
      <c r="F91" s="475">
        <f t="shared" si="23"/>
        <v>100</v>
      </c>
      <c r="G91" s="475">
        <f t="shared" si="23"/>
        <v>100</v>
      </c>
      <c r="H91" s="475">
        <f t="shared" si="23"/>
        <v>100</v>
      </c>
      <c r="I91" s="475">
        <f t="shared" si="23"/>
        <v>100</v>
      </c>
      <c r="J91" s="475">
        <f t="shared" si="23"/>
        <v>100</v>
      </c>
      <c r="K91" s="475">
        <f t="shared" si="23"/>
        <v>100</v>
      </c>
      <c r="L91" s="475">
        <f t="shared" si="23"/>
        <v>100</v>
      </c>
      <c r="M91" s="475">
        <f t="shared" si="23"/>
        <v>100</v>
      </c>
      <c r="N91" s="2521"/>
      <c r="O91" s="2521"/>
      <c r="P91" s="2512"/>
      <c r="Q91" s="2513"/>
      <c r="R91" s="2492"/>
      <c r="S91" s="2492"/>
      <c r="T91" s="2492"/>
      <c r="U91" s="2492"/>
      <c r="V91" s="2492"/>
      <c r="W91" s="2492"/>
      <c r="X91" s="2492"/>
      <c r="Y91" s="2492"/>
      <c r="Z91" s="2492"/>
      <c r="AA91" s="2492"/>
      <c r="AB91" s="2492"/>
      <c r="AC91" s="2492"/>
    </row>
    <row r="92" spans="1:29" ht="15.75" thickTop="1">
      <c r="A92" s="367"/>
      <c r="B92" s="469" t="str">
        <f>B28</f>
        <v>楼层</v>
      </c>
      <c r="C92" s="3163" t="s">
        <v>3434</v>
      </c>
      <c r="D92" s="3163" t="s">
        <v>3435</v>
      </c>
      <c r="E92" s="3163" t="s">
        <v>3436</v>
      </c>
      <c r="F92" s="485"/>
      <c r="G92" s="485"/>
      <c r="H92" s="485"/>
      <c r="I92" s="485"/>
      <c r="J92" s="485"/>
      <c r="K92" s="485"/>
      <c r="L92" s="510"/>
      <c r="M92" s="511"/>
      <c r="N92" s="2519"/>
      <c r="O92" s="2519"/>
      <c r="P92" s="2511"/>
      <c r="Q92" s="2507"/>
      <c r="R92" s="2486"/>
      <c r="S92" s="2486"/>
      <c r="T92" s="2486"/>
      <c r="U92" s="2486"/>
      <c r="V92" s="2486"/>
      <c r="W92" s="2486"/>
      <c r="X92" s="2486"/>
      <c r="Y92" s="2486"/>
      <c r="Z92" s="2486"/>
      <c r="AA92" s="2486"/>
      <c r="AB92" s="2486"/>
      <c r="AC92" s="2486"/>
    </row>
    <row r="93" spans="1:29" ht="15.75" thickBot="1">
      <c r="A93" s="367"/>
      <c r="B93" s="474"/>
      <c r="C93" s="467">
        <v>100</v>
      </c>
      <c r="D93" s="467">
        <v>102</v>
      </c>
      <c r="E93" s="467">
        <v>104</v>
      </c>
      <c r="F93" s="467"/>
      <c r="G93" s="467"/>
      <c r="H93" s="467"/>
      <c r="I93" s="467"/>
      <c r="J93" s="467"/>
      <c r="K93" s="467"/>
      <c r="L93" s="467"/>
      <c r="M93" s="468"/>
      <c r="N93" s="2520"/>
      <c r="O93" s="2520"/>
      <c r="P93" s="2511"/>
      <c r="Q93" s="2507"/>
      <c r="R93" s="2486"/>
      <c r="S93" s="2486"/>
      <c r="T93" s="2486"/>
      <c r="U93" s="2486"/>
      <c r="V93" s="2486"/>
      <c r="W93" s="2486"/>
      <c r="X93" s="2486"/>
      <c r="Y93" s="2486"/>
      <c r="Z93" s="2486"/>
      <c r="AA93" s="2486"/>
      <c r="AB93" s="2486"/>
      <c r="AC93" s="2486"/>
    </row>
    <row r="94" spans="1:29" ht="15.75" thickTop="1">
      <c r="A94" s="367"/>
      <c r="B94" s="469" t="str">
        <f>B29</f>
        <v>朝向</v>
      </c>
      <c r="C94" s="3163" t="s">
        <v>3451</v>
      </c>
      <c r="D94" s="3163" t="s">
        <v>3450</v>
      </c>
      <c r="E94" s="485"/>
      <c r="F94" s="485"/>
      <c r="G94" s="513"/>
      <c r="H94" s="513"/>
      <c r="I94" s="513"/>
      <c r="J94" s="513"/>
      <c r="K94" s="514"/>
      <c r="L94" s="515"/>
      <c r="M94" s="516"/>
      <c r="N94" s="2519"/>
      <c r="O94" s="2519"/>
      <c r="P94" s="2511"/>
      <c r="Q94" s="2507"/>
      <c r="R94" s="2486"/>
      <c r="S94" s="2486"/>
      <c r="T94" s="2486"/>
      <c r="U94" s="2486"/>
      <c r="V94" s="2486"/>
      <c r="W94" s="2486"/>
      <c r="X94" s="2486"/>
      <c r="Y94" s="2486"/>
      <c r="Z94" s="2486"/>
      <c r="AA94" s="2486"/>
      <c r="AB94" s="2486"/>
      <c r="AC94" s="2486"/>
    </row>
    <row r="95" spans="1:29" ht="15.75" thickBot="1">
      <c r="A95" s="367"/>
      <c r="B95" s="474"/>
      <c r="C95" s="491">
        <v>100</v>
      </c>
      <c r="D95" s="467">
        <v>95</v>
      </c>
      <c r="E95" s="467"/>
      <c r="F95" s="467"/>
      <c r="G95" s="467"/>
      <c r="H95" s="467"/>
      <c r="I95" s="467"/>
      <c r="J95" s="467"/>
      <c r="K95" s="467"/>
      <c r="L95" s="467"/>
      <c r="M95" s="468"/>
      <c r="N95" s="2520"/>
      <c r="O95" s="2520"/>
      <c r="P95" s="2511"/>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19"/>
      <c r="O96" s="2519"/>
      <c r="P96" s="2511"/>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0"/>
      <c r="O97" s="2520"/>
      <c r="P97" s="2511"/>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19"/>
      <c r="O98" s="2519"/>
      <c r="P98" s="2511"/>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0"/>
      <c r="O99" s="2520"/>
      <c r="P99" s="2511"/>
      <c r="Q99" s="2507"/>
      <c r="R99" s="2486"/>
      <c r="S99" s="2486"/>
      <c r="T99" s="2486"/>
      <c r="U99" s="2486"/>
      <c r="V99" s="2486"/>
      <c r="W99" s="2486"/>
      <c r="X99" s="2486"/>
      <c r="Y99" s="2486"/>
      <c r="Z99" s="2486"/>
      <c r="AA99" s="2486"/>
      <c r="AB99" s="2486"/>
      <c r="AC99" s="2486"/>
    </row>
    <row r="100" spans="1:29">
      <c r="A100" s="379" t="s">
        <v>1694</v>
      </c>
      <c r="B100" s="460" t="s">
        <v>1805</v>
      </c>
      <c r="C100" s="3166" t="s">
        <v>3452</v>
      </c>
      <c r="D100" s="462"/>
      <c r="E100" s="462"/>
      <c r="F100" s="462"/>
      <c r="G100" s="462"/>
      <c r="H100" s="462"/>
      <c r="I100" s="462"/>
      <c r="J100" s="462"/>
      <c r="K100" s="463"/>
      <c r="L100" s="464"/>
      <c r="M100" s="465"/>
      <c r="N100" s="2519"/>
      <c r="O100" s="2519"/>
      <c r="P100" s="2511"/>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4">C101-$K32</f>
        <v>100</v>
      </c>
      <c r="E101" s="475">
        <f t="shared" si="24"/>
        <v>100</v>
      </c>
      <c r="F101" s="475">
        <f t="shared" si="24"/>
        <v>100</v>
      </c>
      <c r="G101" s="475">
        <f t="shared" si="24"/>
        <v>100</v>
      </c>
      <c r="H101" s="475">
        <f t="shared" si="24"/>
        <v>100</v>
      </c>
      <c r="I101" s="475">
        <f t="shared" si="24"/>
        <v>100</v>
      </c>
      <c r="J101" s="475">
        <f t="shared" si="24"/>
        <v>100</v>
      </c>
      <c r="K101" s="475">
        <f t="shared" si="24"/>
        <v>100</v>
      </c>
      <c r="L101" s="475">
        <f t="shared" si="24"/>
        <v>100</v>
      </c>
      <c r="M101" s="476">
        <f t="shared" si="24"/>
        <v>100</v>
      </c>
      <c r="N101" s="2520"/>
      <c r="O101" s="2520"/>
      <c r="P101" s="2511"/>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0(含)-50</v>
      </c>
      <c r="D102" s="509" t="str">
        <f t="shared" ref="D102:L102" si="25">D103&amp;"(含)"&amp;"-"&amp;E103</f>
        <v>50(含)-100</v>
      </c>
      <c r="E102" s="509" t="str">
        <f t="shared" si="25"/>
        <v>100(含)-</v>
      </c>
      <c r="F102" s="509" t="str">
        <f t="shared" si="25"/>
        <v>(含)-</v>
      </c>
      <c r="G102" s="509" t="str">
        <f t="shared" si="25"/>
        <v>(含)-</v>
      </c>
      <c r="H102" s="509" t="str">
        <f t="shared" si="25"/>
        <v>(含)-</v>
      </c>
      <c r="I102" s="509" t="str">
        <f t="shared" si="25"/>
        <v>(含)-</v>
      </c>
      <c r="J102" s="509" t="str">
        <f t="shared" si="25"/>
        <v>(含)-</v>
      </c>
      <c r="K102" s="509" t="str">
        <f t="shared" si="25"/>
        <v>(含)-</v>
      </c>
      <c r="L102" s="509" t="str">
        <f t="shared" si="25"/>
        <v>(含)-</v>
      </c>
      <c r="M102" s="547" t="str">
        <f>M103&amp;"(含)"&amp;"-"&amp;P103</f>
        <v>(含)-</v>
      </c>
      <c r="N102" s="2518"/>
      <c r="O102" s="2518"/>
      <c r="P102" s="2511"/>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50</v>
      </c>
      <c r="E103" s="6">
        <v>100</v>
      </c>
      <c r="F103" s="6"/>
      <c r="G103" s="6"/>
      <c r="H103" s="6"/>
      <c r="I103" s="6"/>
      <c r="J103" s="524"/>
      <c r="K103" s="524"/>
      <c r="L103" s="525"/>
      <c r="M103" s="526"/>
      <c r="N103" s="2521"/>
      <c r="O103" s="2521"/>
      <c r="P103" s="2512"/>
      <c r="Q103" s="2513"/>
      <c r="R103" s="2492"/>
      <c r="S103" s="2492"/>
      <c r="T103" s="2492"/>
      <c r="U103" s="2492"/>
      <c r="V103" s="2492"/>
      <c r="W103" s="2492"/>
      <c r="X103" s="2492"/>
      <c r="Y103" s="2492"/>
      <c r="Z103" s="2492"/>
      <c r="AA103" s="2492"/>
      <c r="AB103" s="2492"/>
      <c r="AC103" s="2492"/>
    </row>
    <row r="104" spans="1:29" s="408" customFormat="1" ht="15.75" thickBot="1">
      <c r="A104" s="484"/>
      <c r="B104" s="474"/>
      <c r="C104" s="491">
        <v>100</v>
      </c>
      <c r="D104" s="467">
        <v>102</v>
      </c>
      <c r="E104" s="467">
        <v>104</v>
      </c>
      <c r="F104" s="467"/>
      <c r="G104" s="467"/>
      <c r="H104" s="467"/>
      <c r="I104" s="467"/>
      <c r="J104" s="467"/>
      <c r="K104" s="467"/>
      <c r="L104" s="467"/>
      <c r="M104" s="468"/>
      <c r="N104" s="2520"/>
      <c r="O104" s="2520"/>
      <c r="P104" s="2512"/>
      <c r="Q104" s="2513"/>
      <c r="R104" s="2492"/>
      <c r="S104" s="2492"/>
      <c r="T104" s="2492"/>
      <c r="U104" s="2492"/>
      <c r="V104" s="2492"/>
      <c r="W104" s="2492"/>
      <c r="X104" s="2492"/>
      <c r="Y104" s="2492"/>
      <c r="Z104" s="2492"/>
      <c r="AA104" s="2492"/>
      <c r="AB104" s="2492"/>
      <c r="AC104" s="2492"/>
    </row>
    <row r="105" spans="1:29" ht="15" thickTop="1">
      <c r="A105" s="409"/>
      <c r="B105" s="469" t="s">
        <v>1738</v>
      </c>
      <c r="C105" s="3163" t="s">
        <v>3453</v>
      </c>
      <c r="D105" s="485"/>
      <c r="E105" s="513"/>
      <c r="F105" s="513"/>
      <c r="G105" s="513"/>
      <c r="H105" s="513"/>
      <c r="I105" s="513"/>
      <c r="J105" s="513"/>
      <c r="K105" s="514"/>
      <c r="L105" s="515"/>
      <c r="M105" s="516"/>
      <c r="N105" s="2519"/>
      <c r="O105" s="2519"/>
      <c r="P105" s="2511"/>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6">C106-$K34</f>
        <v>100</v>
      </c>
      <c r="E106" s="475">
        <f t="shared" si="26"/>
        <v>100</v>
      </c>
      <c r="F106" s="475">
        <f t="shared" si="26"/>
        <v>100</v>
      </c>
      <c r="G106" s="475">
        <f t="shared" si="26"/>
        <v>100</v>
      </c>
      <c r="H106" s="475">
        <f t="shared" si="26"/>
        <v>100</v>
      </c>
      <c r="I106" s="475">
        <f t="shared" si="26"/>
        <v>100</v>
      </c>
      <c r="J106" s="475">
        <f t="shared" si="26"/>
        <v>100</v>
      </c>
      <c r="K106" s="475">
        <f t="shared" si="26"/>
        <v>100</v>
      </c>
      <c r="L106" s="475">
        <f t="shared" si="26"/>
        <v>100</v>
      </c>
      <c r="M106" s="476">
        <f t="shared" si="26"/>
        <v>100</v>
      </c>
      <c r="N106" s="2520"/>
      <c r="O106" s="2520"/>
      <c r="P106" s="2511"/>
      <c r="Q106" s="2507"/>
      <c r="R106" s="2486"/>
      <c r="S106" s="2486"/>
      <c r="T106" s="2486"/>
      <c r="U106" s="2486"/>
      <c r="V106" s="2486"/>
      <c r="W106" s="2486"/>
      <c r="X106" s="2486"/>
      <c r="Y106" s="2486"/>
      <c r="Z106" s="2486"/>
      <c r="AA106" s="2486"/>
      <c r="AB106" s="2486"/>
      <c r="AC106" s="2486"/>
    </row>
    <row r="107" spans="1:29" ht="15" thickTop="1">
      <c r="A107" s="409"/>
      <c r="B107" s="469" t="s">
        <v>1740</v>
      </c>
      <c r="C107" s="3163" t="s">
        <v>3438</v>
      </c>
      <c r="D107" s="485"/>
      <c r="E107" s="485"/>
      <c r="F107" s="513"/>
      <c r="G107" s="513"/>
      <c r="H107" s="513"/>
      <c r="I107" s="513"/>
      <c r="J107" s="513"/>
      <c r="K107" s="514"/>
      <c r="L107" s="515"/>
      <c r="M107" s="516"/>
      <c r="N107" s="2519"/>
      <c r="O107" s="2519"/>
      <c r="P107" s="2511"/>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7">C108-$K35</f>
        <v>100</v>
      </c>
      <c r="E108" s="475">
        <f t="shared" si="27"/>
        <v>100</v>
      </c>
      <c r="F108" s="475">
        <f t="shared" si="27"/>
        <v>100</v>
      </c>
      <c r="G108" s="475">
        <f t="shared" si="27"/>
        <v>100</v>
      </c>
      <c r="H108" s="475">
        <f t="shared" si="27"/>
        <v>100</v>
      </c>
      <c r="I108" s="475">
        <f t="shared" si="27"/>
        <v>100</v>
      </c>
      <c r="J108" s="475">
        <f t="shared" si="27"/>
        <v>100</v>
      </c>
      <c r="K108" s="475">
        <f t="shared" si="27"/>
        <v>100</v>
      </c>
      <c r="L108" s="475">
        <f t="shared" si="27"/>
        <v>100</v>
      </c>
      <c r="M108" s="476">
        <f t="shared" si="27"/>
        <v>100</v>
      </c>
      <c r="N108" s="2520"/>
      <c r="O108" s="2520"/>
      <c r="P108" s="2511"/>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8">D111+$K36</f>
        <v>100</v>
      </c>
      <c r="F111" s="475">
        <f t="shared" si="28"/>
        <v>100</v>
      </c>
      <c r="G111" s="475">
        <f t="shared" si="28"/>
        <v>100</v>
      </c>
      <c r="H111" s="475">
        <f t="shared" si="28"/>
        <v>100</v>
      </c>
      <c r="I111" s="475">
        <f t="shared" si="28"/>
        <v>100</v>
      </c>
      <c r="J111" s="475">
        <f t="shared" si="28"/>
        <v>100</v>
      </c>
      <c r="K111" s="475">
        <f t="shared" si="28"/>
        <v>100</v>
      </c>
      <c r="L111" s="475">
        <f t="shared" si="28"/>
        <v>100</v>
      </c>
      <c r="M111" s="475">
        <f t="shared" si="28"/>
        <v>100</v>
      </c>
      <c r="N111" s="2520"/>
      <c r="O111" s="2520"/>
      <c r="P111" s="2511"/>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3163" t="s">
        <v>3455</v>
      </c>
      <c r="D112" s="485"/>
      <c r="E112" s="485"/>
      <c r="F112" s="485"/>
      <c r="G112" s="485"/>
      <c r="H112" s="513"/>
      <c r="I112" s="513"/>
      <c r="J112" s="513"/>
      <c r="K112" s="514"/>
      <c r="L112" s="515"/>
      <c r="M112" s="516"/>
      <c r="N112" s="2521"/>
      <c r="O112" s="2521"/>
      <c r="P112" s="2512"/>
      <c r="Q112" s="2513"/>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9">D113-$K37</f>
        <v>100</v>
      </c>
      <c r="F113" s="475">
        <f t="shared" si="29"/>
        <v>100</v>
      </c>
      <c r="G113" s="475">
        <f t="shared" si="29"/>
        <v>100</v>
      </c>
      <c r="H113" s="475">
        <f t="shared" si="29"/>
        <v>100</v>
      </c>
      <c r="I113" s="475">
        <f t="shared" si="29"/>
        <v>100</v>
      </c>
      <c r="J113" s="475">
        <f t="shared" si="29"/>
        <v>100</v>
      </c>
      <c r="K113" s="475">
        <f t="shared" si="29"/>
        <v>100</v>
      </c>
      <c r="L113" s="475">
        <f t="shared" si="29"/>
        <v>100</v>
      </c>
      <c r="M113" s="475">
        <f t="shared" si="29"/>
        <v>100</v>
      </c>
      <c r="N113" s="2521"/>
      <c r="O113" s="2521"/>
      <c r="P113" s="2512"/>
      <c r="Q113" s="2513"/>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19"/>
      <c r="O114" s="2519"/>
      <c r="P114" s="2511"/>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6">
        <f t="shared" si="30"/>
        <v>100</v>
      </c>
      <c r="N115" s="2520"/>
      <c r="O115" s="2520"/>
      <c r="P115" s="2511"/>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19"/>
      <c r="O116" s="2519"/>
      <c r="P116" s="2511"/>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0"/>
      <c r="O117" s="2520"/>
      <c r="P117" s="2511"/>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19"/>
      <c r="O118" s="2519"/>
      <c r="P118" s="2511"/>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0"/>
      <c r="O119" s="2520"/>
      <c r="P119" s="2511"/>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31">D121-$K41</f>
        <v>100</v>
      </c>
      <c r="F121" s="475">
        <f t="shared" si="31"/>
        <v>100</v>
      </c>
      <c r="G121" s="475">
        <f t="shared" si="31"/>
        <v>100</v>
      </c>
      <c r="H121" s="475">
        <f t="shared" si="31"/>
        <v>100</v>
      </c>
      <c r="I121" s="475">
        <f t="shared" si="31"/>
        <v>100</v>
      </c>
      <c r="J121" s="475">
        <f t="shared" si="31"/>
        <v>100</v>
      </c>
      <c r="K121" s="475">
        <f t="shared" si="31"/>
        <v>100</v>
      </c>
      <c r="L121" s="475">
        <f t="shared" si="31"/>
        <v>100</v>
      </c>
      <c r="M121" s="476">
        <f t="shared" si="31"/>
        <v>100</v>
      </c>
      <c r="N121" s="2521"/>
      <c r="O121" s="2521"/>
      <c r="P121" s="2512"/>
      <c r="Q121" s="2513"/>
      <c r="R121" s="2492"/>
      <c r="S121" s="2492"/>
      <c r="T121" s="2492"/>
      <c r="U121" s="2492"/>
      <c r="V121" s="2492"/>
      <c r="W121" s="2492"/>
      <c r="X121" s="2492"/>
      <c r="Y121" s="2492"/>
      <c r="Z121" s="2492"/>
      <c r="AA121" s="2492"/>
      <c r="AB121" s="2492"/>
      <c r="AC121" s="2492"/>
    </row>
    <row r="122" spans="1:29" ht="15" thickTop="1">
      <c r="A122" s="409"/>
      <c r="B122" s="469" t="s">
        <v>1744</v>
      </c>
      <c r="C122" s="3163" t="s">
        <v>3438</v>
      </c>
      <c r="D122" s="3163" t="s">
        <v>3439</v>
      </c>
      <c r="E122" s="485"/>
      <c r="F122" s="513"/>
      <c r="G122" s="513"/>
      <c r="H122" s="513"/>
      <c r="I122" s="513"/>
      <c r="J122" s="513"/>
      <c r="K122" s="514"/>
      <c r="L122" s="515"/>
      <c r="M122" s="516"/>
      <c r="N122" s="2519"/>
      <c r="O122" s="2519"/>
      <c r="P122" s="2511"/>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6">
        <f t="shared" si="32"/>
        <v>80</v>
      </c>
      <c r="N123" s="2520"/>
      <c r="O123" s="2520"/>
      <c r="P123" s="2511"/>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0"/>
      <c r="O125" s="2520"/>
      <c r="P125" s="2511"/>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1"/>
      <c r="O126" s="2521"/>
      <c r="P126" s="2512"/>
      <c r="Q126" s="2513"/>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1"/>
      <c r="O127" s="2521"/>
      <c r="P127" s="2512"/>
      <c r="Q127" s="2513"/>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19"/>
      <c r="O128" s="2519"/>
      <c r="P128" s="2511"/>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0"/>
      <c r="O129" s="2520"/>
      <c r="P129" s="2511"/>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19"/>
      <c r="O130" s="2519"/>
      <c r="P130" s="2511"/>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0"/>
      <c r="O131" s="2520"/>
      <c r="P131" s="2511"/>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4" priority="16" stopIfTrue="1">
      <formula>$F$52="超过30%"</formula>
    </cfRule>
  </conditionalFormatting>
  <conditionalFormatting sqref="E53">
    <cfRule type="expression" dxfId="13" priority="15" stopIfTrue="1">
      <formula>$F$53="超过20%"</formula>
    </cfRule>
  </conditionalFormatting>
  <conditionalFormatting sqref="E54">
    <cfRule type="expression" dxfId="12" priority="14" stopIfTrue="1">
      <formula>$F$54="超过30%"</formula>
    </cfRule>
  </conditionalFormatting>
  <conditionalFormatting sqref="F7:F46 H7:H46 J7:J46">
    <cfRule type="cellIs" dxfId="11" priority="1" operator="notEqual">
      <formula>100</formula>
    </cfRule>
  </conditionalFormatting>
  <conditionalFormatting sqref="F48">
    <cfRule type="expression" dxfId="10" priority="4">
      <formula>$D$48="简单平均"</formula>
    </cfRule>
  </conditionalFormatting>
  <conditionalFormatting sqref="F52:F54 H52:H54">
    <cfRule type="containsText" dxfId="9" priority="17" stopIfTrue="1" operator="containsText" text="超过">
      <formula>NOT(ISERROR(SEARCH("超过",F52)))</formula>
    </cfRule>
  </conditionalFormatting>
  <conditionalFormatting sqref="G52">
    <cfRule type="expression" dxfId="8" priority="12" stopIfTrue="1">
      <formula>$H$52="超过30%"</formula>
    </cfRule>
  </conditionalFormatting>
  <conditionalFormatting sqref="G53">
    <cfRule type="expression" dxfId="7" priority="11" stopIfTrue="1">
      <formula>$H$53="超过20%"</formula>
    </cfRule>
  </conditionalFormatting>
  <conditionalFormatting sqref="G54">
    <cfRule type="expression" dxfId="6" priority="13" stopIfTrue="1">
      <formula>$H$54="超过30%"</formula>
    </cfRule>
  </conditionalFormatting>
  <conditionalFormatting sqref="H48">
    <cfRule type="expression" dxfId="5" priority="3">
      <formula>$D$48="简单平均"</formula>
    </cfRule>
  </conditionalFormatting>
  <conditionalFormatting sqref="I52">
    <cfRule type="expression" dxfId="4" priority="7" stopIfTrue="1">
      <formula>$J$52="超过30%"</formula>
    </cfRule>
  </conditionalFormatting>
  <conditionalFormatting sqref="I53">
    <cfRule type="expression" dxfId="3" priority="6" stopIfTrue="1">
      <formula>$J$53="超过20%"</formula>
    </cfRule>
  </conditionalFormatting>
  <conditionalFormatting sqref="I54">
    <cfRule type="expression" dxfId="2" priority="5" stopIfTrue="1">
      <formula>$J$54="超过30%"</formula>
    </cfRule>
  </conditionalFormatting>
  <conditionalFormatting sqref="J48">
    <cfRule type="expression" dxfId="1" priority="2">
      <formula>$D$48="简单平均"</formula>
    </cfRule>
  </conditionalFormatting>
  <conditionalFormatting sqref="J52:J54">
    <cfRule type="containsText" dxfId="0"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2:W169"/>
  <sheetViews>
    <sheetView topLeftCell="D1" zoomScaleNormal="100" workbookViewId="0">
      <selection activeCell="AB23" sqref="AB23"/>
    </sheetView>
  </sheetViews>
  <sheetFormatPr defaultColWidth="9" defaultRowHeight="13.5"/>
  <cols>
    <col min="1" max="3" width="9" style="3142"/>
    <col min="4" max="4" width="9.125" style="3142" bestFit="1" customWidth="1"/>
    <col min="5" max="5" width="9" style="3142"/>
    <col min="6" max="6" width="9.125" style="3142" bestFit="1" customWidth="1"/>
    <col min="7" max="7" width="10.5" style="3142" bestFit="1" customWidth="1"/>
    <col min="8" max="9" width="9" style="3142"/>
    <col min="10" max="10" width="15.75" style="3142" bestFit="1" customWidth="1"/>
    <col min="11" max="22" width="9" style="3142"/>
    <col min="23" max="23" width="9" style="3149"/>
    <col min="24" max="16384" width="9" style="3142"/>
  </cols>
  <sheetData>
    <row r="2" spans="3:14">
      <c r="M2" s="3142" t="s">
        <v>3409</v>
      </c>
    </row>
    <row r="3" spans="3:14">
      <c r="C3" s="3142" t="s">
        <v>3381</v>
      </c>
      <c r="M3" s="3142" t="s">
        <v>3410</v>
      </c>
    </row>
    <row r="4" spans="3:14">
      <c r="M4" s="3148">
        <f>ROUND(M2/M3,2)</f>
        <v>5.43</v>
      </c>
    </row>
    <row r="5" spans="3:14">
      <c r="C5" s="3143" t="s">
        <v>3382</v>
      </c>
      <c r="D5" s="3143" t="s">
        <v>3383</v>
      </c>
      <c r="E5" s="3143" t="s">
        <v>3384</v>
      </c>
      <c r="F5" s="3143" t="s">
        <v>3385</v>
      </c>
      <c r="G5" s="3143" t="s">
        <v>3386</v>
      </c>
      <c r="H5" s="3143" t="s">
        <v>3387</v>
      </c>
      <c r="I5" s="3143" t="s">
        <v>3388</v>
      </c>
      <c r="J5" s="3143" t="s">
        <v>3389</v>
      </c>
    </row>
    <row r="6" spans="3:14">
      <c r="C6" s="3157" t="s">
        <v>3390</v>
      </c>
      <c r="D6" s="3158">
        <v>80.83</v>
      </c>
      <c r="E6" s="3157" t="s">
        <v>3391</v>
      </c>
      <c r="F6" s="3159">
        <v>257</v>
      </c>
      <c r="G6" s="3160">
        <f>ROUND(F6*10000/D6,0)</f>
        <v>31795</v>
      </c>
      <c r="H6" s="3160" t="s">
        <v>3392</v>
      </c>
      <c r="I6" s="3160" t="s">
        <v>3393</v>
      </c>
      <c r="J6" s="3161">
        <v>44990</v>
      </c>
    </row>
    <row r="7" spans="3:14">
      <c r="C7" s="3157" t="s">
        <v>3394</v>
      </c>
      <c r="D7" s="3158">
        <v>80.78</v>
      </c>
      <c r="E7" s="3157" t="s">
        <v>3395</v>
      </c>
      <c r="F7" s="3159">
        <v>265</v>
      </c>
      <c r="G7" s="3160">
        <f t="shared" ref="G7:G12" si="0">ROUND(F7*10000/D7,0)</f>
        <v>32805</v>
      </c>
      <c r="H7" s="3160" t="s">
        <v>3392</v>
      </c>
      <c r="I7" s="3160" t="s">
        <v>3393</v>
      </c>
      <c r="J7" s="3161">
        <v>44931</v>
      </c>
      <c r="K7" s="3148">
        <f>G7/G8</f>
        <v>0.82150101419878296</v>
      </c>
      <c r="N7" s="3142" t="s">
        <v>2828</v>
      </c>
    </row>
    <row r="8" spans="3:14">
      <c r="C8" s="3152" t="s">
        <v>3396</v>
      </c>
      <c r="D8" s="3153">
        <v>68.59</v>
      </c>
      <c r="E8" s="3152" t="s">
        <v>3397</v>
      </c>
      <c r="F8" s="3154">
        <v>273.89999999999998</v>
      </c>
      <c r="G8" s="3155">
        <f t="shared" si="0"/>
        <v>39933</v>
      </c>
      <c r="H8" s="3155" t="s">
        <v>3398</v>
      </c>
      <c r="I8" s="3155" t="s">
        <v>3393</v>
      </c>
      <c r="J8" s="3156">
        <v>44884</v>
      </c>
    </row>
    <row r="9" spans="3:14">
      <c r="C9" s="3152" t="s">
        <v>3399</v>
      </c>
      <c r="D9" s="3153">
        <v>69.349999999999994</v>
      </c>
      <c r="E9" s="3152" t="s">
        <v>3395</v>
      </c>
      <c r="F9" s="3154">
        <v>290</v>
      </c>
      <c r="G9" s="3155">
        <f t="shared" si="0"/>
        <v>41817</v>
      </c>
      <c r="H9" s="3155" t="s">
        <v>3398</v>
      </c>
      <c r="I9" s="3155" t="s">
        <v>3393</v>
      </c>
      <c r="J9" s="3156">
        <v>44881</v>
      </c>
    </row>
    <row r="10" spans="3:14">
      <c r="C10" s="3152" t="s">
        <v>3400</v>
      </c>
      <c r="D10" s="3153">
        <v>68.03</v>
      </c>
      <c r="E10" s="3152" t="s">
        <v>3395</v>
      </c>
      <c r="F10" s="3154">
        <v>273.5</v>
      </c>
      <c r="G10" s="3155">
        <f t="shared" si="0"/>
        <v>40203</v>
      </c>
      <c r="H10" s="3155" t="s">
        <v>3398</v>
      </c>
      <c r="I10" s="3155" t="s">
        <v>3393</v>
      </c>
      <c r="J10" s="3156">
        <v>44825</v>
      </c>
    </row>
    <row r="11" spans="3:14">
      <c r="C11" s="3157" t="s">
        <v>3401</v>
      </c>
      <c r="D11" s="3158">
        <v>67.83</v>
      </c>
      <c r="E11" s="3157" t="s">
        <v>3395</v>
      </c>
      <c r="F11" s="3159">
        <v>245</v>
      </c>
      <c r="G11" s="3160">
        <f t="shared" si="0"/>
        <v>36120</v>
      </c>
      <c r="H11" s="3160" t="s">
        <v>3398</v>
      </c>
      <c r="I11" s="3160" t="s">
        <v>3393</v>
      </c>
      <c r="J11" s="3161">
        <v>44701</v>
      </c>
      <c r="L11" s="3142" t="s">
        <v>3442</v>
      </c>
      <c r="M11" s="3142" t="s">
        <v>3443</v>
      </c>
      <c r="N11" s="3142">
        <f>M11/L11</f>
        <v>3.375</v>
      </c>
    </row>
    <row r="12" spans="3:14">
      <c r="C12" s="3143" t="s">
        <v>3402</v>
      </c>
      <c r="D12" s="3144">
        <v>69.540000000000006</v>
      </c>
      <c r="E12" s="3143" t="s">
        <v>3395</v>
      </c>
      <c r="F12" s="3145">
        <v>260</v>
      </c>
      <c r="G12" s="3146">
        <f t="shared" si="0"/>
        <v>37389</v>
      </c>
      <c r="H12" s="3146" t="s">
        <v>3398</v>
      </c>
      <c r="I12" s="3146" t="s">
        <v>3393</v>
      </c>
      <c r="J12" s="3147">
        <v>44576</v>
      </c>
      <c r="L12" s="3142" t="s">
        <v>3444</v>
      </c>
      <c r="M12" s="3142" t="s">
        <v>3445</v>
      </c>
      <c r="N12" s="3142">
        <f>M12/L12</f>
        <v>3.4782608695652173</v>
      </c>
    </row>
    <row r="13" spans="3:14">
      <c r="F13" s="3148"/>
      <c r="G13" s="3149"/>
      <c r="H13" s="3149"/>
      <c r="I13" s="3149"/>
      <c r="J13" s="3150"/>
    </row>
    <row r="14" spans="3:14">
      <c r="F14" s="3148"/>
      <c r="G14" s="3149"/>
      <c r="H14" s="3149"/>
      <c r="I14" s="3149"/>
      <c r="J14" s="3150"/>
    </row>
    <row r="15" spans="3:14">
      <c r="F15" s="3148"/>
      <c r="G15" s="3149"/>
      <c r="H15" s="3149"/>
      <c r="I15" s="3149"/>
      <c r="J15" s="3150"/>
    </row>
    <row r="16" spans="3:14">
      <c r="F16" s="3148"/>
      <c r="G16" s="3149"/>
      <c r="H16" s="3149"/>
      <c r="I16" s="3149"/>
      <c r="J16" s="3150"/>
    </row>
    <row r="17" spans="6:19">
      <c r="F17" s="3148"/>
      <c r="G17" s="3149"/>
      <c r="H17" s="3149"/>
      <c r="I17" s="3149"/>
      <c r="J17" s="3150"/>
    </row>
    <row r="18" spans="6:19">
      <c r="F18" s="3148"/>
      <c r="G18" s="3149"/>
      <c r="H18" s="3149"/>
      <c r="I18" s="3149"/>
      <c r="J18" s="3150"/>
    </row>
    <row r="19" spans="6:19">
      <c r="F19" s="3148"/>
      <c r="G19" s="3149"/>
      <c r="H19" s="3149"/>
      <c r="I19" s="3149"/>
      <c r="J19" s="3150"/>
    </row>
    <row r="20" spans="6:19">
      <c r="F20" s="3148"/>
      <c r="G20" s="3149"/>
      <c r="H20" s="3149"/>
      <c r="I20" s="3149"/>
      <c r="J20" s="3150"/>
    </row>
    <row r="21" spans="6:19">
      <c r="F21" s="3148"/>
      <c r="G21" s="3149"/>
      <c r="H21" s="3149"/>
      <c r="I21" s="3149"/>
      <c r="J21" s="3150"/>
      <c r="Q21" s="3142" t="s">
        <v>3459</v>
      </c>
      <c r="R21" s="3142" t="s">
        <v>3460</v>
      </c>
      <c r="S21" s="3142">
        <f>R21/R23</f>
        <v>2.0126492771841611</v>
      </c>
    </row>
    <row r="22" spans="6:19">
      <c r="F22" s="3148"/>
      <c r="G22" s="3149"/>
      <c r="H22" s="3149"/>
      <c r="I22" s="3149"/>
      <c r="J22" s="3150"/>
      <c r="Q22" s="3142" t="s">
        <v>3461</v>
      </c>
      <c r="R22" s="3142" t="s">
        <v>3462</v>
      </c>
      <c r="S22" s="3142">
        <f>R22/R23</f>
        <v>1.3439267756128221</v>
      </c>
    </row>
    <row r="23" spans="6:19">
      <c r="F23" s="3148"/>
      <c r="G23" s="3149"/>
      <c r="H23" s="3149"/>
      <c r="I23" s="3149"/>
      <c r="J23" s="3150"/>
      <c r="Q23" s="3142" t="s">
        <v>3464</v>
      </c>
      <c r="R23" s="3142" t="s">
        <v>3463</v>
      </c>
      <c r="S23" s="3167"/>
    </row>
    <row r="24" spans="6:19">
      <c r="F24" s="3148"/>
      <c r="G24" s="3149"/>
      <c r="H24" s="3149"/>
      <c r="I24" s="3149"/>
      <c r="J24" s="3150"/>
      <c r="S24" s="3167"/>
    </row>
    <row r="25" spans="6:19">
      <c r="F25" s="3148"/>
      <c r="G25" s="3149"/>
      <c r="H25" s="3149"/>
      <c r="I25" s="3149"/>
      <c r="J25" s="3150"/>
    </row>
    <row r="26" spans="6:19">
      <c r="F26" s="3148"/>
      <c r="G26" s="3149"/>
      <c r="H26" s="3149"/>
      <c r="I26" s="3149"/>
      <c r="J26" s="3150"/>
    </row>
    <row r="27" spans="6:19">
      <c r="F27" s="3148"/>
      <c r="G27" s="3149"/>
      <c r="H27" s="3149"/>
      <c r="I27" s="3149"/>
      <c r="J27" s="3150"/>
    </row>
    <row r="28" spans="6:19">
      <c r="F28" s="3148"/>
      <c r="G28" s="3149"/>
      <c r="H28" s="3149"/>
      <c r="I28" s="3149"/>
      <c r="J28" s="3150"/>
    </row>
    <row r="29" spans="6:19">
      <c r="F29" s="3148"/>
      <c r="G29" s="3149"/>
      <c r="H29" s="3149"/>
      <c r="I29" s="3149"/>
      <c r="J29" s="3150"/>
    </row>
    <row r="135" spans="16:16">
      <c r="P135" s="3148">
        <f>ROUND(8600/79,2)</f>
        <v>108.86</v>
      </c>
    </row>
    <row r="136" spans="16:16">
      <c r="P136" s="3148"/>
    </row>
    <row r="137" spans="16:16">
      <c r="P137" s="3148"/>
    </row>
    <row r="138" spans="16:16">
      <c r="P138" s="3148"/>
    </row>
    <row r="139" spans="16:16">
      <c r="P139" s="3148"/>
    </row>
    <row r="140" spans="16:16">
      <c r="P140" s="3148"/>
    </row>
    <row r="141" spans="16:16">
      <c r="P141" s="3148"/>
    </row>
    <row r="142" spans="16:16">
      <c r="P142" s="3148"/>
    </row>
    <row r="143" spans="16:16">
      <c r="P143" s="3148"/>
    </row>
    <row r="144" spans="16:16">
      <c r="P144" s="3148"/>
    </row>
    <row r="145" spans="16:16">
      <c r="P145" s="3148"/>
    </row>
    <row r="146" spans="16:16">
      <c r="P146" s="3148"/>
    </row>
    <row r="147" spans="16:16">
      <c r="P147" s="3148">
        <f>ROUND(8000/70,2)</f>
        <v>114.29</v>
      </c>
    </row>
    <row r="148" spans="16:16">
      <c r="P148" s="3148"/>
    </row>
    <row r="149" spans="16:16">
      <c r="P149" s="3148"/>
    </row>
    <row r="150" spans="16:16">
      <c r="P150" s="3148"/>
    </row>
    <row r="151" spans="16:16">
      <c r="P151" s="3148"/>
    </row>
    <row r="152" spans="16:16">
      <c r="P152" s="3148"/>
    </row>
    <row r="153" spans="16:16">
      <c r="P153" s="3148"/>
    </row>
    <row r="154" spans="16:16">
      <c r="P154" s="3148"/>
    </row>
    <row r="155" spans="16:16">
      <c r="P155" s="3148"/>
    </row>
    <row r="156" spans="16:16">
      <c r="P156" s="3148"/>
    </row>
    <row r="157" spans="16:16">
      <c r="P157" s="3148"/>
    </row>
    <row r="158" spans="16:16">
      <c r="P158" s="3148"/>
    </row>
    <row r="159" spans="16:16">
      <c r="P159" s="3148">
        <f>ROUND(8800/85,2)</f>
        <v>103.53</v>
      </c>
    </row>
    <row r="160" spans="16:16">
      <c r="P160" s="3148"/>
    </row>
    <row r="161" spans="16:16">
      <c r="P161" s="3148"/>
    </row>
    <row r="162" spans="16:16">
      <c r="P162" s="3148"/>
    </row>
    <row r="163" spans="16:16">
      <c r="P163" s="3148"/>
    </row>
    <row r="164" spans="16:16">
      <c r="P164" s="3148"/>
    </row>
    <row r="165" spans="16:16">
      <c r="P165" s="3148"/>
    </row>
    <row r="166" spans="16:16">
      <c r="P166" s="3148"/>
    </row>
    <row r="167" spans="16:16">
      <c r="P167" s="3148"/>
    </row>
    <row r="168" spans="16:16">
      <c r="P168" s="3148"/>
    </row>
    <row r="169" spans="16:16">
      <c r="P169" s="3148"/>
    </row>
  </sheetData>
  <autoFilter ref="C5:J29">
    <sortState ref="C5:J29">
      <sortCondition ref="G18"/>
    </sortState>
  </autoFilter>
  <phoneticPr fontId="134" type="noConversion"/>
  <pageMargins left="0.75" right="0.75" top="1" bottom="1" header="0.5" footer="0.5"/>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0" customWidth="1"/>
    <col min="2" max="2" width="18.625" style="2780" customWidth="1"/>
    <col min="3" max="6" width="10.25" style="2780" customWidth="1"/>
    <col min="7" max="7" width="10.5" style="2780" bestFit="1" customWidth="1"/>
    <col min="8" max="8" width="8.875" style="2779"/>
    <col min="9" max="9" width="13.375" style="2779" customWidth="1"/>
    <col min="10" max="13" width="13.375" style="2780" customWidth="1"/>
    <col min="14" max="14" width="18.25" style="2780" customWidth="1"/>
    <col min="15" max="17" width="15.125" style="2780" customWidth="1"/>
    <col min="18" max="20" width="11.5" style="2780" customWidth="1"/>
    <col min="21" max="16384" width="8.875" style="2780"/>
  </cols>
  <sheetData>
    <row r="1" spans="1:20" ht="12" thickBot="1">
      <c r="A1" s="3493" t="s">
        <v>2842</v>
      </c>
      <c r="B1" s="3493"/>
      <c r="C1" s="3493"/>
      <c r="D1" s="3493"/>
      <c r="E1" s="3493"/>
      <c r="F1" s="3493"/>
      <c r="G1" s="3494"/>
      <c r="I1" s="2936" t="s">
        <v>2843</v>
      </c>
      <c r="J1" s="2937" t="s">
        <v>2844</v>
      </c>
      <c r="K1" s="2937" t="s">
        <v>2845</v>
      </c>
      <c r="L1" s="2937" t="s">
        <v>2846</v>
      </c>
      <c r="M1" s="2937" t="s">
        <v>2847</v>
      </c>
      <c r="N1" s="2937" t="s">
        <v>2848</v>
      </c>
      <c r="O1" s="2937" t="s">
        <v>2849</v>
      </c>
      <c r="P1" s="2937" t="s">
        <v>2850</v>
      </c>
      <c r="Q1" s="2937" t="s">
        <v>2851</v>
      </c>
      <c r="R1" s="2937" t="s">
        <v>2852</v>
      </c>
      <c r="S1" s="2937" t="s">
        <v>2853</v>
      </c>
      <c r="T1" s="2938" t="s">
        <v>2854</v>
      </c>
    </row>
    <row r="2" spans="1:20" ht="12" thickBot="1">
      <c r="A2" s="2939" t="s">
        <v>2855</v>
      </c>
      <c r="B2" s="2939"/>
      <c r="C2" s="2939"/>
      <c r="D2" s="2939"/>
      <c r="E2" s="2939"/>
      <c r="F2" s="2939"/>
      <c r="G2" s="2940" t="s">
        <v>2856</v>
      </c>
      <c r="I2" s="2941" t="s">
        <v>2857</v>
      </c>
      <c r="J2" s="2941" t="s">
        <v>2858</v>
      </c>
      <c r="K2" s="2941" t="s">
        <v>2859</v>
      </c>
      <c r="L2" s="2941" t="s">
        <v>2860</v>
      </c>
      <c r="M2" s="2941" t="s">
        <v>2861</v>
      </c>
      <c r="N2" s="2941" t="s">
        <v>2862</v>
      </c>
      <c r="O2" s="2941" t="s">
        <v>2863</v>
      </c>
      <c r="P2" s="2941" t="s">
        <v>2864</v>
      </c>
      <c r="Q2" s="2941" t="s">
        <v>2865</v>
      </c>
      <c r="R2" s="2941" t="s">
        <v>2866</v>
      </c>
      <c r="S2" s="2941" t="s">
        <v>2867</v>
      </c>
      <c r="T2" s="2941" t="s">
        <v>2868</v>
      </c>
    </row>
    <row r="3" spans="1:20" s="2947" customFormat="1">
      <c r="A3" s="3491" t="s">
        <v>2869</v>
      </c>
      <c r="B3" s="2942"/>
      <c r="C3" s="2943" t="s">
        <v>2814</v>
      </c>
      <c r="D3" s="2943" t="s">
        <v>2870</v>
      </c>
      <c r="E3" s="2943" t="s">
        <v>2816</v>
      </c>
      <c r="F3" s="2943" t="s">
        <v>2871</v>
      </c>
      <c r="G3" s="2943" t="s">
        <v>2634</v>
      </c>
      <c r="H3" s="2944"/>
      <c r="I3" s="2945" t="s">
        <v>2872</v>
      </c>
      <c r="J3" s="2946" t="s">
        <v>128</v>
      </c>
      <c r="K3" s="2946" t="s">
        <v>129</v>
      </c>
      <c r="L3" s="2945" t="s">
        <v>130</v>
      </c>
      <c r="M3" s="2945" t="s">
        <v>131</v>
      </c>
      <c r="N3" s="2945" t="s">
        <v>132</v>
      </c>
      <c r="O3" s="2945" t="s">
        <v>133</v>
      </c>
      <c r="P3" s="2945" t="s">
        <v>134</v>
      </c>
      <c r="Q3" s="2945" t="s">
        <v>135</v>
      </c>
      <c r="R3" s="2945" t="s">
        <v>136</v>
      </c>
      <c r="S3" s="2945" t="s">
        <v>2873</v>
      </c>
      <c r="T3" s="2945" t="s">
        <v>2874</v>
      </c>
    </row>
    <row r="4" spans="1:20" s="2947" customFormat="1" ht="12" thickBot="1">
      <c r="A4" s="3492"/>
      <c r="B4" s="2948" t="s">
        <v>2875</v>
      </c>
      <c r="C4" s="2948" t="s">
        <v>2876</v>
      </c>
      <c r="D4" s="2948" t="s">
        <v>2876</v>
      </c>
      <c r="E4" s="2948" t="s">
        <v>2876</v>
      </c>
      <c r="F4" s="2949" t="s">
        <v>2876</v>
      </c>
      <c r="G4" s="2949" t="s">
        <v>2876</v>
      </c>
      <c r="H4" s="2944"/>
      <c r="I4" s="2946" t="s">
        <v>137</v>
      </c>
      <c r="J4" s="2946" t="s">
        <v>111</v>
      </c>
      <c r="K4" s="2946" t="s">
        <v>138</v>
      </c>
      <c r="L4" s="2945" t="s">
        <v>139</v>
      </c>
      <c r="M4" s="2945" t="s">
        <v>140</v>
      </c>
      <c r="N4" s="2945" t="s">
        <v>141</v>
      </c>
      <c r="O4" s="2945" t="s">
        <v>142</v>
      </c>
      <c r="P4" s="2945" t="s">
        <v>143</v>
      </c>
      <c r="Q4" s="2945" t="s">
        <v>2877</v>
      </c>
      <c r="R4" s="2945" t="s">
        <v>2878</v>
      </c>
      <c r="S4" s="2945" t="s">
        <v>2879</v>
      </c>
      <c r="T4" s="2945" t="s">
        <v>2880</v>
      </c>
    </row>
    <row r="5" spans="1:20">
      <c r="A5" s="2950" t="s">
        <v>2843</v>
      </c>
      <c r="B5" s="2941" t="s">
        <v>2857</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2881</v>
      </c>
      <c r="R5" s="2945" t="s">
        <v>2882</v>
      </c>
      <c r="S5" s="2945" t="s">
        <v>153</v>
      </c>
      <c r="T5" s="2945" t="s">
        <v>2883</v>
      </c>
    </row>
    <row r="6" spans="1:20" ht="12" thickBot="1">
      <c r="A6" s="2945" t="s">
        <v>144</v>
      </c>
      <c r="B6" s="2945" t="s">
        <v>2872</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2884</v>
      </c>
      <c r="Q6" s="2945" t="s">
        <v>2885</v>
      </c>
      <c r="R6" s="2945" t="s">
        <v>161</v>
      </c>
      <c r="S6" s="2945" t="s">
        <v>2886</v>
      </c>
      <c r="T6" s="2945" t="s">
        <v>2887</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2888</v>
      </c>
      <c r="Q7" s="2945" t="s">
        <v>2889</v>
      </c>
      <c r="R7" s="2945" t="s">
        <v>2890</v>
      </c>
      <c r="S7" s="2945" t="s">
        <v>2891</v>
      </c>
      <c r="T7" s="2945" t="s">
        <v>2892</v>
      </c>
    </row>
    <row r="8" spans="1:20" ht="12"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2893</v>
      </c>
      <c r="Q8" s="2945" t="s">
        <v>174</v>
      </c>
      <c r="R8" s="2945" t="s">
        <v>2894</v>
      </c>
      <c r="S8" s="2945" t="s">
        <v>2895</v>
      </c>
      <c r="T8" s="2952" t="s">
        <v>2896</v>
      </c>
    </row>
    <row r="9" spans="1:20" ht="12"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2897</v>
      </c>
      <c r="Q9" s="2945" t="s">
        <v>182</v>
      </c>
      <c r="R9" s="2945" t="s">
        <v>183</v>
      </c>
      <c r="S9" s="2945" t="s">
        <v>200</v>
      </c>
    </row>
    <row r="10" spans="1:20">
      <c r="A10" s="2950" t="s">
        <v>184</v>
      </c>
      <c r="B10" s="2941" t="s">
        <v>2858</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2898</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2899</v>
      </c>
      <c r="P11" s="2945" t="s">
        <v>191</v>
      </c>
      <c r="Q11" s="2945" t="s">
        <v>199</v>
      </c>
      <c r="R11" s="2945" t="s">
        <v>2900</v>
      </c>
      <c r="S11" s="2945" t="s">
        <v>2901</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2902</v>
      </c>
      <c r="P12" s="2945" t="s">
        <v>2903</v>
      </c>
      <c r="Q12" s="2945" t="s">
        <v>2904</v>
      </c>
      <c r="R12" s="2945" t="s">
        <v>2905</v>
      </c>
      <c r="S12" s="2945" t="s">
        <v>2906</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2907</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2908</v>
      </c>
      <c r="K14" s="2946" t="s">
        <v>215</v>
      </c>
      <c r="L14" s="2945" t="s">
        <v>216</v>
      </c>
      <c r="M14" s="2945" t="s">
        <v>217</v>
      </c>
      <c r="N14" s="2945" t="s">
        <v>218</v>
      </c>
      <c r="O14" s="2945" t="s">
        <v>240</v>
      </c>
      <c r="P14" s="2945" t="s">
        <v>213</v>
      </c>
      <c r="Q14" s="2945" t="s">
        <v>2909</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2910</v>
      </c>
      <c r="P15" s="2945" t="s">
        <v>2911</v>
      </c>
      <c r="Q15" s="2945" t="s">
        <v>242</v>
      </c>
      <c r="R15" s="2945" t="s">
        <v>2912</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2913</v>
      </c>
      <c r="P16" s="2945" t="s">
        <v>227</v>
      </c>
      <c r="Q16" s="2945" t="s">
        <v>250</v>
      </c>
      <c r="R16" s="2945" t="s">
        <v>207</v>
      </c>
      <c r="S16" s="2945" t="s">
        <v>2914</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2915</v>
      </c>
      <c r="P17" s="2945" t="s">
        <v>2916</v>
      </c>
      <c r="Q17" s="2945" t="s">
        <v>256</v>
      </c>
      <c r="R17" s="2945" t="s">
        <v>2917</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2918</v>
      </c>
      <c r="P18" s="2945" t="s">
        <v>241</v>
      </c>
      <c r="Q18" s="2945" t="s">
        <v>2919</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2920</v>
      </c>
      <c r="P19" s="2945" t="s">
        <v>249</v>
      </c>
      <c r="Q19" s="2945" t="s">
        <v>2921</v>
      </c>
      <c r="R19" s="2945" t="s">
        <v>265</v>
      </c>
      <c r="S19" s="2945" t="s">
        <v>2922</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2923</v>
      </c>
      <c r="P20" s="2945" t="s">
        <v>2924</v>
      </c>
      <c r="Q20" s="2945" t="s">
        <v>290</v>
      </c>
      <c r="R20" s="2945" t="s">
        <v>2925</v>
      </c>
      <c r="S20" s="2945" t="s">
        <v>277</v>
      </c>
    </row>
    <row r="21" spans="1:19" ht="14.25" customHeight="1" thickBot="1">
      <c r="A21" s="2945" t="s">
        <v>184</v>
      </c>
      <c r="B21" s="2946" t="s">
        <v>208</v>
      </c>
      <c r="C21" s="2945">
        <v>32370</v>
      </c>
      <c r="D21" s="2945">
        <v>26730</v>
      </c>
      <c r="E21" s="2945">
        <v>26640</v>
      </c>
      <c r="F21" s="2945"/>
      <c r="G21" s="2945">
        <v>19440</v>
      </c>
      <c r="J21" s="2952" t="s">
        <v>2926</v>
      </c>
      <c r="K21" s="2946" t="s">
        <v>267</v>
      </c>
      <c r="L21" s="2945" t="s">
        <v>268</v>
      </c>
      <c r="M21" s="2945" t="s">
        <v>269</v>
      </c>
      <c r="N21" s="2945" t="s">
        <v>270</v>
      </c>
      <c r="O21" s="2945" t="s">
        <v>264</v>
      </c>
      <c r="P21" s="2945" t="s">
        <v>283</v>
      </c>
      <c r="Q21" s="2945" t="s">
        <v>293</v>
      </c>
      <c r="R21" s="2945" t="s">
        <v>2927</v>
      </c>
      <c r="S21" s="2952" t="s">
        <v>2928</v>
      </c>
    </row>
    <row r="22" spans="1:19" ht="14.25" customHeight="1">
      <c r="A22" s="2945" t="s">
        <v>184</v>
      </c>
      <c r="B22" s="2946" t="s">
        <v>2908</v>
      </c>
      <c r="C22" s="2945">
        <v>29830</v>
      </c>
      <c r="D22" s="2945">
        <v>27600</v>
      </c>
      <c r="E22" s="2945">
        <v>28150</v>
      </c>
      <c r="F22" s="2945"/>
      <c r="G22" s="2945">
        <v>20080</v>
      </c>
      <c r="K22" s="2946" t="s">
        <v>2929</v>
      </c>
      <c r="L22" s="2945" t="s">
        <v>272</v>
      </c>
      <c r="M22" s="2945" t="s">
        <v>273</v>
      </c>
      <c r="N22" s="2945" t="s">
        <v>274</v>
      </c>
      <c r="O22" s="2945" t="s">
        <v>2930</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2931</v>
      </c>
      <c r="L23" s="2945" t="s">
        <v>278</v>
      </c>
      <c r="M23" s="2945" t="s">
        <v>279</v>
      </c>
      <c r="N23" s="2945" t="s">
        <v>2932</v>
      </c>
      <c r="O23" s="2945" t="s">
        <v>2933</v>
      </c>
      <c r="P23" s="2945" t="s">
        <v>289</v>
      </c>
      <c r="Q23" s="2945" t="s">
        <v>298</v>
      </c>
      <c r="R23" s="2945" t="s">
        <v>2934</v>
      </c>
    </row>
    <row r="24" spans="1:19" ht="14.25" customHeight="1">
      <c r="A24" s="2945" t="s">
        <v>184</v>
      </c>
      <c r="B24" s="2946" t="s">
        <v>230</v>
      </c>
      <c r="C24" s="2945">
        <v>27930</v>
      </c>
      <c r="D24" s="2945">
        <v>32260</v>
      </c>
      <c r="E24" s="2945">
        <v>32120</v>
      </c>
      <c r="F24" s="2945"/>
      <c r="G24" s="2945">
        <v>23470</v>
      </c>
      <c r="K24" s="2946" t="s">
        <v>2935</v>
      </c>
      <c r="L24" s="2945" t="s">
        <v>281</v>
      </c>
      <c r="M24" s="2945" t="s">
        <v>282</v>
      </c>
      <c r="N24" s="2945" t="s">
        <v>2936</v>
      </c>
      <c r="O24" s="2945" t="s">
        <v>285</v>
      </c>
      <c r="P24" s="2945" t="s">
        <v>2937</v>
      </c>
      <c r="Q24" s="2954" t="s">
        <v>2938</v>
      </c>
      <c r="R24" s="2945" t="s">
        <v>2939</v>
      </c>
    </row>
    <row r="25" spans="1:19" ht="14.25" customHeight="1">
      <c r="A25" s="2945" t="s">
        <v>184</v>
      </c>
      <c r="B25" s="2946" t="s">
        <v>235</v>
      </c>
      <c r="C25" s="2945">
        <v>32230</v>
      </c>
      <c r="D25" s="2945">
        <v>29640</v>
      </c>
      <c r="E25" s="2945">
        <v>29510</v>
      </c>
      <c r="F25" s="2945"/>
      <c r="G25" s="2945">
        <v>21560</v>
      </c>
      <c r="K25" s="2946" t="s">
        <v>2940</v>
      </c>
      <c r="L25" s="2945" t="s">
        <v>2941</v>
      </c>
      <c r="M25" s="2945" t="s">
        <v>284</v>
      </c>
      <c r="N25" s="2945" t="s">
        <v>292</v>
      </c>
      <c r="O25" s="2945" t="s">
        <v>288</v>
      </c>
      <c r="P25" s="2945" t="s">
        <v>275</v>
      </c>
      <c r="Q25" s="2954" t="s">
        <v>271</v>
      </c>
      <c r="R25" s="2945" t="s">
        <v>2942</v>
      </c>
    </row>
    <row r="26" spans="1:19" ht="14.25" customHeight="1" thickBot="1">
      <c r="A26" s="2945" t="s">
        <v>184</v>
      </c>
      <c r="B26" s="2946" t="s">
        <v>244</v>
      </c>
      <c r="C26" s="2945">
        <v>31690</v>
      </c>
      <c r="D26" s="2945">
        <v>27650</v>
      </c>
      <c r="E26" s="2945">
        <v>28200</v>
      </c>
      <c r="F26" s="2945"/>
      <c r="G26" s="2945">
        <v>20110</v>
      </c>
      <c r="K26" s="2951" t="s">
        <v>2943</v>
      </c>
      <c r="L26" s="2945" t="s">
        <v>2944</v>
      </c>
      <c r="M26" s="2945" t="s">
        <v>287</v>
      </c>
      <c r="N26" s="2945" t="s">
        <v>294</v>
      </c>
      <c r="O26" s="2945" t="s">
        <v>2945</v>
      </c>
      <c r="P26" s="2945" t="s">
        <v>2946</v>
      </c>
      <c r="Q26" s="2954" t="s">
        <v>276</v>
      </c>
      <c r="R26" s="2945" t="s">
        <v>2947</v>
      </c>
    </row>
    <row r="27" spans="1:19" ht="14.25" customHeight="1">
      <c r="A27" s="2945" t="s">
        <v>184</v>
      </c>
      <c r="B27" s="2946" t="s">
        <v>251</v>
      </c>
      <c r="C27" s="2945">
        <v>29610</v>
      </c>
      <c r="D27" s="2945">
        <v>27770</v>
      </c>
      <c r="E27" s="2945">
        <v>28300</v>
      </c>
      <c r="F27" s="2945"/>
      <c r="G27" s="2945">
        <v>20210</v>
      </c>
      <c r="L27" s="2945" t="s">
        <v>2948</v>
      </c>
      <c r="M27" s="2945" t="s">
        <v>291</v>
      </c>
      <c r="N27" s="2945" t="s">
        <v>297</v>
      </c>
      <c r="O27" s="2945" t="s">
        <v>2949</v>
      </c>
      <c r="P27" s="2945" t="s">
        <v>2950</v>
      </c>
      <c r="Q27" s="2945" t="s">
        <v>2951</v>
      </c>
      <c r="R27" s="2945" t="s">
        <v>2952</v>
      </c>
    </row>
    <row r="28" spans="1:19" ht="14.25" customHeight="1">
      <c r="A28" s="2945" t="s">
        <v>184</v>
      </c>
      <c r="B28" s="2946" t="s">
        <v>259</v>
      </c>
      <c r="C28" s="2945"/>
      <c r="D28" s="2945">
        <v>31520</v>
      </c>
      <c r="E28" s="2945">
        <v>31410</v>
      </c>
      <c r="F28" s="2945"/>
      <c r="G28" s="2945">
        <v>22940</v>
      </c>
      <c r="L28" s="2945" t="s">
        <v>2953</v>
      </c>
      <c r="M28" s="2945" t="s">
        <v>2954</v>
      </c>
      <c r="N28" s="2945" t="s">
        <v>2955</v>
      </c>
      <c r="O28" s="2945" t="s">
        <v>2956</v>
      </c>
      <c r="P28" s="2945" t="s">
        <v>2957</v>
      </c>
      <c r="Q28" s="2945" t="s">
        <v>2958</v>
      </c>
      <c r="R28" s="2945" t="s">
        <v>2959</v>
      </c>
    </row>
    <row r="29" spans="1:19" ht="14.25" customHeight="1" thickBot="1">
      <c r="A29" s="2953" t="s">
        <v>184</v>
      </c>
      <c r="B29" s="2955" t="s">
        <v>2926</v>
      </c>
      <c r="C29" s="2956"/>
      <c r="D29" s="2956">
        <v>29460</v>
      </c>
      <c r="E29" s="2956">
        <v>28640</v>
      </c>
      <c r="F29" s="2956"/>
      <c r="G29" s="2956">
        <v>21430</v>
      </c>
      <c r="L29" s="2945" t="s">
        <v>2960</v>
      </c>
      <c r="M29" s="2945" t="s">
        <v>2961</v>
      </c>
      <c r="N29" s="2945" t="s">
        <v>2962</v>
      </c>
      <c r="O29" s="2945" t="s">
        <v>2963</v>
      </c>
      <c r="P29" s="2945" t="s">
        <v>2964</v>
      </c>
      <c r="Q29" s="2945" t="s">
        <v>2965</v>
      </c>
      <c r="R29" s="2945" t="s">
        <v>280</v>
      </c>
    </row>
    <row r="30" spans="1:19" ht="14.25" customHeight="1">
      <c r="A30" s="2950" t="s">
        <v>296</v>
      </c>
      <c r="B30" s="2941" t="s">
        <v>2859</v>
      </c>
      <c r="C30" s="2941">
        <v>26890</v>
      </c>
      <c r="D30" s="2941">
        <v>26770</v>
      </c>
      <c r="E30" s="2941">
        <v>25700</v>
      </c>
      <c r="F30" s="2941">
        <v>8180</v>
      </c>
      <c r="G30" s="2957">
        <v>18740</v>
      </c>
      <c r="L30" s="2945" t="s">
        <v>2966</v>
      </c>
      <c r="M30" s="2945" t="s">
        <v>2967</v>
      </c>
      <c r="N30" s="2945" t="s">
        <v>2968</v>
      </c>
      <c r="O30" s="2945" t="s">
        <v>2969</v>
      </c>
      <c r="P30" s="2945" t="s">
        <v>2970</v>
      </c>
      <c r="Q30" s="2945" t="s">
        <v>2971</v>
      </c>
      <c r="R30" s="2945" t="s">
        <v>2972</v>
      </c>
    </row>
    <row r="31" spans="1:19" ht="14.25" customHeight="1">
      <c r="A31" s="2945" t="s">
        <v>296</v>
      </c>
      <c r="B31" s="2946" t="s">
        <v>129</v>
      </c>
      <c r="C31" s="2945">
        <v>24550</v>
      </c>
      <c r="D31" s="2945">
        <v>23990</v>
      </c>
      <c r="E31" s="2945">
        <v>22930</v>
      </c>
      <c r="F31" s="2945">
        <v>7470</v>
      </c>
      <c r="G31" s="2958">
        <v>16790</v>
      </c>
      <c r="L31" s="2945" t="s">
        <v>2973</v>
      </c>
      <c r="M31" s="2945" t="s">
        <v>2974</v>
      </c>
      <c r="N31" s="2945" t="s">
        <v>2975</v>
      </c>
      <c r="O31" s="2945" t="s">
        <v>2976</v>
      </c>
      <c r="P31" s="2945" t="s">
        <v>2977</v>
      </c>
      <c r="Q31" s="2945" t="s">
        <v>2978</v>
      </c>
      <c r="R31" s="2945" t="s">
        <v>2979</v>
      </c>
    </row>
    <row r="32" spans="1:19" ht="14.25" customHeight="1" thickBot="1">
      <c r="A32" s="2945" t="s">
        <v>296</v>
      </c>
      <c r="B32" s="2946" t="s">
        <v>138</v>
      </c>
      <c r="C32" s="2945">
        <v>27210</v>
      </c>
      <c r="D32" s="2945">
        <v>23240</v>
      </c>
      <c r="E32" s="2945">
        <v>23260</v>
      </c>
      <c r="F32" s="2945">
        <v>7130</v>
      </c>
      <c r="G32" s="2958">
        <v>16270</v>
      </c>
      <c r="L32" s="2945" t="s">
        <v>2980</v>
      </c>
      <c r="M32" s="2945" t="s">
        <v>2981</v>
      </c>
      <c r="N32" s="2945" t="s">
        <v>300</v>
      </c>
      <c r="O32" s="2945" t="s">
        <v>2982</v>
      </c>
      <c r="P32" s="2945" t="s">
        <v>299</v>
      </c>
      <c r="Q32" s="2945" t="s">
        <v>2983</v>
      </c>
      <c r="R32" s="2952" t="s">
        <v>2984</v>
      </c>
    </row>
    <row r="33" spans="1:17" ht="14.25" customHeight="1" thickBot="1">
      <c r="A33" s="2945" t="s">
        <v>296</v>
      </c>
      <c r="B33" s="2946" t="s">
        <v>147</v>
      </c>
      <c r="C33" s="2945">
        <v>27300</v>
      </c>
      <c r="D33" s="2945">
        <v>22980</v>
      </c>
      <c r="E33" s="2945">
        <v>24260</v>
      </c>
      <c r="F33" s="2945">
        <v>5860</v>
      </c>
      <c r="G33" s="2958">
        <v>16090</v>
      </c>
      <c r="L33" s="2952" t="s">
        <v>2985</v>
      </c>
      <c r="M33" s="2945" t="s">
        <v>2986</v>
      </c>
      <c r="N33" s="2945" t="s">
        <v>301</v>
      </c>
      <c r="O33" s="2945" t="s">
        <v>2987</v>
      </c>
      <c r="P33" s="2945" t="s">
        <v>2988</v>
      </c>
      <c r="Q33" s="2945" t="s">
        <v>2989</v>
      </c>
    </row>
    <row r="34" spans="1:17" ht="14.25" customHeight="1">
      <c r="A34" s="2945" t="s">
        <v>296</v>
      </c>
      <c r="B34" s="2946" t="s">
        <v>156</v>
      </c>
      <c r="C34" s="2945">
        <v>23090</v>
      </c>
      <c r="D34" s="2945">
        <v>23390</v>
      </c>
      <c r="E34" s="2945">
        <v>23510</v>
      </c>
      <c r="F34" s="2945">
        <v>6700</v>
      </c>
      <c r="G34" s="2958">
        <v>16370</v>
      </c>
      <c r="M34" s="2945" t="s">
        <v>2990</v>
      </c>
      <c r="N34" s="2945" t="s">
        <v>302</v>
      </c>
      <c r="O34" s="2945" t="s">
        <v>2991</v>
      </c>
      <c r="P34" s="2945" t="s">
        <v>2992</v>
      </c>
      <c r="Q34" s="2945" t="s">
        <v>2993</v>
      </c>
    </row>
    <row r="35" spans="1:17" ht="14.25" customHeight="1">
      <c r="A35" s="2945" t="s">
        <v>296</v>
      </c>
      <c r="B35" s="2946" t="s">
        <v>163</v>
      </c>
      <c r="C35" s="2945">
        <v>27270</v>
      </c>
      <c r="D35" s="2945">
        <v>24270</v>
      </c>
      <c r="E35" s="2945">
        <v>24950</v>
      </c>
      <c r="F35" s="2945">
        <v>6600</v>
      </c>
      <c r="G35" s="2958">
        <v>16990</v>
      </c>
      <c r="M35" s="2945" t="s">
        <v>2994</v>
      </c>
      <c r="N35" s="2945" t="s">
        <v>2995</v>
      </c>
      <c r="O35" s="2945" t="s">
        <v>2996</v>
      </c>
      <c r="P35" s="2945" t="s">
        <v>2997</v>
      </c>
      <c r="Q35" s="2945" t="s">
        <v>2998</v>
      </c>
    </row>
    <row r="36" spans="1:17" ht="14.25" customHeight="1">
      <c r="A36" s="2945" t="s">
        <v>296</v>
      </c>
      <c r="B36" s="2946" t="s">
        <v>169</v>
      </c>
      <c r="C36" s="2945">
        <v>23490</v>
      </c>
      <c r="D36" s="2945">
        <v>23020</v>
      </c>
      <c r="E36" s="2945">
        <v>25230</v>
      </c>
      <c r="F36" s="2945">
        <v>6780</v>
      </c>
      <c r="G36" s="2958">
        <v>16120</v>
      </c>
      <c r="M36" s="2945" t="s">
        <v>2999</v>
      </c>
      <c r="N36" s="2945" t="s">
        <v>3000</v>
      </c>
      <c r="O36" s="2945" t="s">
        <v>3001</v>
      </c>
      <c r="P36" s="2945" t="s">
        <v>3002</v>
      </c>
      <c r="Q36" s="2945" t="s">
        <v>3003</v>
      </c>
    </row>
    <row r="37" spans="1:17" ht="14.25" customHeight="1">
      <c r="A37" s="2945" t="s">
        <v>296</v>
      </c>
      <c r="B37" s="2946" t="s">
        <v>176</v>
      </c>
      <c r="C37" s="2945">
        <v>24380</v>
      </c>
      <c r="D37" s="2945">
        <v>22240</v>
      </c>
      <c r="E37" s="2945">
        <v>25980</v>
      </c>
      <c r="F37" s="2945">
        <v>8160</v>
      </c>
      <c r="G37" s="2958">
        <v>15570</v>
      </c>
      <c r="M37" s="2945" t="s">
        <v>3004</v>
      </c>
      <c r="N37" s="2945" t="s">
        <v>3005</v>
      </c>
      <c r="O37" s="2945" t="s">
        <v>3006</v>
      </c>
      <c r="P37" s="2945" t="s">
        <v>3007</v>
      </c>
      <c r="Q37" s="2945" t="s">
        <v>3008</v>
      </c>
    </row>
    <row r="38" spans="1:17" ht="14.25" customHeight="1">
      <c r="A38" s="2945" t="s">
        <v>296</v>
      </c>
      <c r="B38" s="2946" t="s">
        <v>186</v>
      </c>
      <c r="C38" s="2945">
        <v>23120</v>
      </c>
      <c r="D38" s="2945">
        <v>24630</v>
      </c>
      <c r="E38" s="2945">
        <v>25030</v>
      </c>
      <c r="F38" s="2945">
        <v>7710</v>
      </c>
      <c r="G38" s="2958">
        <v>17240</v>
      </c>
      <c r="M38" s="2945" t="s">
        <v>3009</v>
      </c>
      <c r="N38" s="2945" t="s">
        <v>3010</v>
      </c>
      <c r="O38" s="2945" t="s">
        <v>3011</v>
      </c>
      <c r="P38" s="2945" t="s">
        <v>3012</v>
      </c>
      <c r="Q38" s="2945" t="s">
        <v>3013</v>
      </c>
    </row>
    <row r="39" spans="1:17" ht="14.25" customHeight="1">
      <c r="A39" s="2945" t="s">
        <v>296</v>
      </c>
      <c r="B39" s="2946" t="s">
        <v>195</v>
      </c>
      <c r="C39" s="2945">
        <v>22330</v>
      </c>
      <c r="D39" s="2945">
        <v>21140</v>
      </c>
      <c r="E39" s="2945">
        <v>23970</v>
      </c>
      <c r="F39" s="2945">
        <v>7940</v>
      </c>
      <c r="G39" s="2958">
        <v>14790</v>
      </c>
      <c r="M39" s="2945" t="s">
        <v>3014</v>
      </c>
      <c r="N39" s="2945" t="s">
        <v>3015</v>
      </c>
      <c r="O39" s="2945" t="s">
        <v>3016</v>
      </c>
      <c r="P39" s="2945" t="s">
        <v>3017</v>
      </c>
      <c r="Q39" s="2945" t="s">
        <v>3018</v>
      </c>
    </row>
    <row r="40" spans="1:17" ht="14.25" customHeight="1">
      <c r="A40" s="2945" t="s">
        <v>296</v>
      </c>
      <c r="B40" s="2946" t="s">
        <v>202</v>
      </c>
      <c r="C40" s="2945">
        <v>24740</v>
      </c>
      <c r="D40" s="2945">
        <v>24690</v>
      </c>
      <c r="E40" s="2945">
        <v>22610</v>
      </c>
      <c r="F40" s="2945"/>
      <c r="G40" s="2958">
        <v>17280</v>
      </c>
      <c r="M40" s="2945" t="s">
        <v>3019</v>
      </c>
      <c r="N40" s="2945" t="s">
        <v>3020</v>
      </c>
      <c r="O40" s="2945" t="s">
        <v>3021</v>
      </c>
      <c r="P40" s="2945" t="s">
        <v>3022</v>
      </c>
      <c r="Q40" s="2945" t="s">
        <v>3023</v>
      </c>
    </row>
    <row r="41" spans="1:17" ht="14.25" customHeight="1" thickBot="1">
      <c r="A41" s="2945" t="s">
        <v>296</v>
      </c>
      <c r="B41" s="2946" t="s">
        <v>209</v>
      </c>
      <c r="C41" s="2945">
        <v>21220</v>
      </c>
      <c r="D41" s="2945">
        <v>21120</v>
      </c>
      <c r="E41" s="2945">
        <v>22590</v>
      </c>
      <c r="F41" s="2945"/>
      <c r="G41" s="2958">
        <v>14780</v>
      </c>
      <c r="M41" s="2952" t="s">
        <v>3024</v>
      </c>
      <c r="N41" s="2945" t="s">
        <v>3025</v>
      </c>
      <c r="O41" s="2945" t="s">
        <v>3026</v>
      </c>
      <c r="P41" s="2945" t="s">
        <v>3027</v>
      </c>
      <c r="Q41" s="2945" t="s">
        <v>3028</v>
      </c>
    </row>
    <row r="42" spans="1:17" ht="14.25" customHeight="1">
      <c r="A42" s="2945" t="s">
        <v>296</v>
      </c>
      <c r="B42" s="2946" t="s">
        <v>215</v>
      </c>
      <c r="C42" s="2945">
        <v>24800</v>
      </c>
      <c r="D42" s="2945">
        <v>22280</v>
      </c>
      <c r="E42" s="2945">
        <v>24350</v>
      </c>
      <c r="F42" s="2945"/>
      <c r="G42" s="2958">
        <v>15590</v>
      </c>
      <c r="N42" s="2945" t="s">
        <v>3029</v>
      </c>
      <c r="O42" s="2945" t="s">
        <v>3030</v>
      </c>
      <c r="P42" s="2945" t="s">
        <v>3031</v>
      </c>
      <c r="Q42" s="2945" t="s">
        <v>3032</v>
      </c>
    </row>
    <row r="43" spans="1:17" ht="14.25" customHeight="1">
      <c r="A43" s="2945" t="s">
        <v>3033</v>
      </c>
      <c r="B43" s="2946" t="s">
        <v>223</v>
      </c>
      <c r="C43" s="2945">
        <v>21210</v>
      </c>
      <c r="D43" s="2945">
        <v>21160</v>
      </c>
      <c r="E43" s="2945">
        <v>22650</v>
      </c>
      <c r="F43" s="2945"/>
      <c r="G43" s="2958">
        <v>14800</v>
      </c>
      <c r="N43" s="2945" t="s">
        <v>3034</v>
      </c>
      <c r="O43" s="2945" t="s">
        <v>3035</v>
      </c>
      <c r="P43" s="2945" t="s">
        <v>3036</v>
      </c>
      <c r="Q43" s="2945" t="s">
        <v>3037</v>
      </c>
    </row>
    <row r="44" spans="1:17" ht="14.25" customHeight="1" thickBot="1">
      <c r="A44" s="2945" t="s">
        <v>296</v>
      </c>
      <c r="B44" s="2946" t="s">
        <v>231</v>
      </c>
      <c r="C44" s="2945">
        <v>22370</v>
      </c>
      <c r="D44" s="2945">
        <v>23140</v>
      </c>
      <c r="E44" s="2945">
        <v>25090</v>
      </c>
      <c r="F44" s="2945"/>
      <c r="G44" s="2958">
        <v>16190</v>
      </c>
      <c r="N44" s="2945" t="s">
        <v>3038</v>
      </c>
      <c r="O44" s="2945" t="s">
        <v>3039</v>
      </c>
      <c r="P44" s="2952" t="s">
        <v>3040</v>
      </c>
      <c r="Q44" s="2945" t="s">
        <v>3041</v>
      </c>
    </row>
    <row r="45" spans="1:17" ht="14.25" customHeight="1" thickBot="1">
      <c r="A45" s="2945" t="s">
        <v>296</v>
      </c>
      <c r="B45" s="2946" t="s">
        <v>236</v>
      </c>
      <c r="C45" s="2945">
        <v>21240</v>
      </c>
      <c r="D45" s="2945">
        <v>27050</v>
      </c>
      <c r="E45" s="2945">
        <v>28000</v>
      </c>
      <c r="F45" s="2945"/>
      <c r="G45" s="2958">
        <v>18940</v>
      </c>
      <c r="N45" s="2945" t="s">
        <v>3042</v>
      </c>
      <c r="O45" s="2952" t="s">
        <v>3043</v>
      </c>
      <c r="Q45" s="2945" t="s">
        <v>3044</v>
      </c>
    </row>
    <row r="46" spans="1:17" ht="14.25" customHeight="1">
      <c r="A46" s="2945" t="s">
        <v>296</v>
      </c>
      <c r="B46" s="2946" t="s">
        <v>245</v>
      </c>
      <c r="C46" s="2945">
        <v>23240</v>
      </c>
      <c r="D46" s="2945">
        <v>23000</v>
      </c>
      <c r="E46" s="2945">
        <v>24980</v>
      </c>
      <c r="F46" s="2945"/>
      <c r="G46" s="2958">
        <v>16100</v>
      </c>
      <c r="N46" s="2945" t="s">
        <v>3045</v>
      </c>
      <c r="Q46" s="2945" t="s">
        <v>3046</v>
      </c>
    </row>
    <row r="47" spans="1:17" ht="14.25" customHeight="1">
      <c r="A47" s="2945" t="s">
        <v>296</v>
      </c>
      <c r="B47" s="2946" t="s">
        <v>252</v>
      </c>
      <c r="C47" s="2945">
        <v>27150</v>
      </c>
      <c r="D47" s="2945">
        <v>23310</v>
      </c>
      <c r="E47" s="2945">
        <v>25150</v>
      </c>
      <c r="F47" s="2945"/>
      <c r="G47" s="2958">
        <v>16310</v>
      </c>
      <c r="N47" s="2945" t="s">
        <v>3047</v>
      </c>
      <c r="Q47" s="2945" t="s">
        <v>3048</v>
      </c>
    </row>
    <row r="48" spans="1:17" ht="14.25" customHeight="1">
      <c r="A48" s="2945" t="s">
        <v>296</v>
      </c>
      <c r="B48" s="2946" t="s">
        <v>260</v>
      </c>
      <c r="C48" s="2945">
        <v>23100</v>
      </c>
      <c r="D48" s="2945">
        <v>21110</v>
      </c>
      <c r="E48" s="2945">
        <v>23080</v>
      </c>
      <c r="F48" s="2945"/>
      <c r="G48" s="2958">
        <v>14780</v>
      </c>
      <c r="N48" s="2945" t="s">
        <v>3049</v>
      </c>
      <c r="Q48" s="2945" t="s">
        <v>3050</v>
      </c>
    </row>
    <row r="49" spans="1:17" ht="14.25" customHeight="1">
      <c r="A49" s="2945" t="s">
        <v>296</v>
      </c>
      <c r="B49" s="2946" t="s">
        <v>267</v>
      </c>
      <c r="C49" s="2945">
        <v>23400</v>
      </c>
      <c r="D49" s="2945">
        <v>22920</v>
      </c>
      <c r="E49" s="2945">
        <v>24900</v>
      </c>
      <c r="F49" s="2945"/>
      <c r="G49" s="2958">
        <v>16040</v>
      </c>
      <c r="N49" s="2945" t="s">
        <v>3051</v>
      </c>
      <c r="Q49" s="2945" t="s">
        <v>3052</v>
      </c>
    </row>
    <row r="50" spans="1:17" ht="14.25" customHeight="1">
      <c r="A50" s="2945" t="s">
        <v>296</v>
      </c>
      <c r="B50" s="2946" t="s">
        <v>2929</v>
      </c>
      <c r="C50" s="2945">
        <v>21200</v>
      </c>
      <c r="D50" s="2945">
        <v>26540</v>
      </c>
      <c r="E50" s="2945">
        <v>23200</v>
      </c>
      <c r="F50" s="2945"/>
      <c r="G50" s="2958">
        <v>18580</v>
      </c>
      <c r="N50" s="2945" t="s">
        <v>3053</v>
      </c>
      <c r="Q50" s="2946" t="s">
        <v>3054</v>
      </c>
    </row>
    <row r="51" spans="1:17" ht="14.25" customHeight="1" thickBot="1">
      <c r="A51" s="2945" t="s">
        <v>296</v>
      </c>
      <c r="B51" s="2946" t="s">
        <v>2931</v>
      </c>
      <c r="C51" s="2945">
        <v>23000</v>
      </c>
      <c r="D51" s="2945">
        <v>23460</v>
      </c>
      <c r="E51" s="2945">
        <v>25290</v>
      </c>
      <c r="F51" s="2945"/>
      <c r="G51" s="2958">
        <v>16420</v>
      </c>
      <c r="N51" s="2945" t="s">
        <v>3055</v>
      </c>
      <c r="Q51" s="2952" t="s">
        <v>3056</v>
      </c>
    </row>
    <row r="52" spans="1:17" ht="14.25" customHeight="1">
      <c r="A52" s="2945" t="s">
        <v>296</v>
      </c>
      <c r="B52" s="2946" t="s">
        <v>2935</v>
      </c>
      <c r="C52" s="2945">
        <v>26660</v>
      </c>
      <c r="D52" s="2945">
        <v>22350</v>
      </c>
      <c r="E52" s="2945">
        <v>22920</v>
      </c>
      <c r="F52" s="2945"/>
      <c r="G52" s="2958">
        <v>15640</v>
      </c>
      <c r="N52" s="2945" t="s">
        <v>3057</v>
      </c>
    </row>
    <row r="53" spans="1:17" ht="14.25" customHeight="1">
      <c r="A53" s="2945" t="s">
        <v>296</v>
      </c>
      <c r="B53" s="2946" t="s">
        <v>2940</v>
      </c>
      <c r="C53" s="2945">
        <v>23580</v>
      </c>
      <c r="D53" s="2945"/>
      <c r="E53" s="2945">
        <v>24280</v>
      </c>
      <c r="F53" s="2945"/>
      <c r="G53" s="2958"/>
      <c r="N53" s="2945" t="s">
        <v>3058</v>
      </c>
    </row>
    <row r="54" spans="1:17" ht="14.25" customHeight="1" thickBot="1">
      <c r="A54" s="2959" t="s">
        <v>296</v>
      </c>
      <c r="B54" s="2951" t="s">
        <v>2943</v>
      </c>
      <c r="C54" s="2952">
        <v>22460</v>
      </c>
      <c r="D54" s="2952"/>
      <c r="E54" s="2952"/>
      <c r="F54" s="2952"/>
      <c r="G54" s="2960"/>
      <c r="N54" s="2945" t="s">
        <v>3059</v>
      </c>
    </row>
    <row r="55" spans="1:17" ht="14.25" customHeight="1">
      <c r="A55" s="2950" t="s">
        <v>110</v>
      </c>
      <c r="B55" s="2941" t="s">
        <v>3060</v>
      </c>
      <c r="C55" s="2945">
        <v>21970</v>
      </c>
      <c r="D55" s="2945">
        <v>20370</v>
      </c>
      <c r="E55" s="2945">
        <v>20180</v>
      </c>
      <c r="F55" s="2945">
        <v>5730</v>
      </c>
      <c r="G55" s="2945">
        <v>13820</v>
      </c>
      <c r="N55" s="2945" t="s">
        <v>3061</v>
      </c>
    </row>
    <row r="56" spans="1:17" ht="14.25" customHeight="1">
      <c r="A56" s="2945" t="s">
        <v>110</v>
      </c>
      <c r="B56" s="2945" t="s">
        <v>130</v>
      </c>
      <c r="C56" s="2945">
        <v>20470</v>
      </c>
      <c r="D56" s="2945">
        <v>20700</v>
      </c>
      <c r="E56" s="2945">
        <v>20380</v>
      </c>
      <c r="F56" s="2945">
        <v>4760</v>
      </c>
      <c r="G56" s="2945">
        <v>14050</v>
      </c>
      <c r="N56" s="2945" t="s">
        <v>3062</v>
      </c>
    </row>
    <row r="57" spans="1:17" ht="14.25" customHeight="1">
      <c r="A57" s="2945" t="s">
        <v>110</v>
      </c>
      <c r="B57" s="2945" t="s">
        <v>139</v>
      </c>
      <c r="C57" s="2945">
        <v>20790</v>
      </c>
      <c r="D57" s="2945">
        <v>21370</v>
      </c>
      <c r="E57" s="2945">
        <v>20890</v>
      </c>
      <c r="F57" s="2945">
        <v>4910</v>
      </c>
      <c r="G57" s="2945">
        <v>14510</v>
      </c>
      <c r="N57" s="2945" t="s">
        <v>3063</v>
      </c>
    </row>
    <row r="58" spans="1:17" ht="14.25" customHeight="1">
      <c r="A58" s="2945" t="s">
        <v>110</v>
      </c>
      <c r="B58" s="2945" t="s">
        <v>148</v>
      </c>
      <c r="C58" s="2945">
        <v>21460</v>
      </c>
      <c r="D58" s="2945">
        <v>20920</v>
      </c>
      <c r="E58" s="2945">
        <v>23410</v>
      </c>
      <c r="F58" s="2945">
        <v>5100</v>
      </c>
      <c r="G58" s="2945">
        <v>14200</v>
      </c>
      <c r="N58" s="2945" t="s">
        <v>3064</v>
      </c>
    </row>
    <row r="59" spans="1:17" ht="14.25" customHeight="1">
      <c r="A59" s="2945" t="s">
        <v>110</v>
      </c>
      <c r="B59" s="2945" t="s">
        <v>157</v>
      </c>
      <c r="C59" s="2945">
        <v>21000</v>
      </c>
      <c r="D59" s="2945">
        <v>21550</v>
      </c>
      <c r="E59" s="2945">
        <v>21150</v>
      </c>
      <c r="F59" s="2945">
        <v>5250</v>
      </c>
      <c r="G59" s="2945">
        <v>14630</v>
      </c>
      <c r="N59" s="2945" t="s">
        <v>3065</v>
      </c>
    </row>
    <row r="60" spans="1:17" ht="14.25" customHeight="1">
      <c r="A60" s="2945" t="s">
        <v>110</v>
      </c>
      <c r="B60" s="2945" t="s">
        <v>164</v>
      </c>
      <c r="C60" s="2945">
        <v>21640</v>
      </c>
      <c r="D60" s="2945">
        <v>21260</v>
      </c>
      <c r="E60" s="2945">
        <v>24040</v>
      </c>
      <c r="F60" s="2945">
        <v>4470</v>
      </c>
      <c r="G60" s="2945">
        <v>14430</v>
      </c>
      <c r="N60" s="2945" t="s">
        <v>3066</v>
      </c>
    </row>
    <row r="61" spans="1:17" ht="14.25" customHeight="1">
      <c r="A61" s="2945" t="s">
        <v>110</v>
      </c>
      <c r="B61" s="2945" t="s">
        <v>170</v>
      </c>
      <c r="C61" s="2945">
        <v>21330</v>
      </c>
      <c r="D61" s="2945">
        <v>18640</v>
      </c>
      <c r="E61" s="2945">
        <v>21190</v>
      </c>
      <c r="F61" s="2945">
        <v>4180</v>
      </c>
      <c r="G61" s="2945">
        <v>12650</v>
      </c>
      <c r="N61" s="2945" t="s">
        <v>3067</v>
      </c>
    </row>
    <row r="62" spans="1:17" ht="14.25" customHeight="1">
      <c r="A62" s="2945" t="s">
        <v>110</v>
      </c>
      <c r="B62" s="2945" t="s">
        <v>177</v>
      </c>
      <c r="C62" s="2945">
        <v>18710</v>
      </c>
      <c r="D62" s="2945">
        <v>19400</v>
      </c>
      <c r="E62" s="2945">
        <v>23750</v>
      </c>
      <c r="F62" s="2945">
        <v>4860</v>
      </c>
      <c r="G62" s="2945">
        <v>13170</v>
      </c>
      <c r="N62" s="2945" t="s">
        <v>3068</v>
      </c>
    </row>
    <row r="63" spans="1:17" ht="14.25" customHeight="1">
      <c r="A63" s="2945" t="s">
        <v>110</v>
      </c>
      <c r="B63" s="2945" t="s">
        <v>187</v>
      </c>
      <c r="C63" s="2945">
        <v>19480</v>
      </c>
      <c r="D63" s="2945">
        <v>16830</v>
      </c>
      <c r="E63" s="2945">
        <v>21590</v>
      </c>
      <c r="F63" s="2945">
        <v>4560</v>
      </c>
      <c r="G63" s="2945">
        <v>11420</v>
      </c>
      <c r="N63" s="2945" t="s">
        <v>3069</v>
      </c>
    </row>
    <row r="64" spans="1:17" ht="14.25" customHeight="1" thickBot="1">
      <c r="A64" s="2945" t="s">
        <v>110</v>
      </c>
      <c r="B64" s="2945" t="s">
        <v>196</v>
      </c>
      <c r="C64" s="2945">
        <v>16920</v>
      </c>
      <c r="D64" s="2945">
        <v>19190</v>
      </c>
      <c r="E64" s="2945">
        <v>22200</v>
      </c>
      <c r="F64" s="2945">
        <v>4390</v>
      </c>
      <c r="G64" s="2945">
        <v>13030</v>
      </c>
      <c r="N64" s="2952" t="s">
        <v>3070</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2941</v>
      </c>
      <c r="C78" s="2945">
        <v>19820</v>
      </c>
      <c r="D78" s="2945">
        <v>19780</v>
      </c>
      <c r="E78" s="2945">
        <v>18560</v>
      </c>
      <c r="F78" s="2945"/>
      <c r="G78" s="2945">
        <v>13430</v>
      </c>
    </row>
    <row r="79" spans="1:7" s="2779" customFormat="1" ht="14.25" customHeight="1">
      <c r="A79" s="2945" t="s">
        <v>110</v>
      </c>
      <c r="B79" s="2945" t="s">
        <v>2944</v>
      </c>
      <c r="C79" s="2945">
        <v>21660</v>
      </c>
      <c r="D79" s="2945">
        <v>18000</v>
      </c>
      <c r="E79" s="2945">
        <v>22570</v>
      </c>
      <c r="F79" s="2945"/>
      <c r="G79" s="2945">
        <v>12220</v>
      </c>
    </row>
    <row r="80" spans="1:7" s="2779" customFormat="1" ht="14.25" customHeight="1">
      <c r="A80" s="2945" t="s">
        <v>110</v>
      </c>
      <c r="B80" s="2945" t="s">
        <v>2948</v>
      </c>
      <c r="C80" s="2945">
        <v>19850</v>
      </c>
      <c r="D80" s="2945"/>
      <c r="E80" s="2945">
        <v>21700</v>
      </c>
      <c r="F80" s="2945"/>
      <c r="G80" s="2945"/>
    </row>
    <row r="81" spans="1:7" s="2779" customFormat="1" ht="14.25" customHeight="1">
      <c r="A81" s="2945" t="s">
        <v>110</v>
      </c>
      <c r="B81" s="2945" t="s">
        <v>2953</v>
      </c>
      <c r="C81" s="2945">
        <v>18080</v>
      </c>
      <c r="D81" s="2945"/>
      <c r="E81" s="2945">
        <v>20900</v>
      </c>
      <c r="F81" s="2945"/>
      <c r="G81" s="2945"/>
    </row>
    <row r="82" spans="1:7" s="2779" customFormat="1" ht="14.25" customHeight="1">
      <c r="A82" s="2945" t="s">
        <v>110</v>
      </c>
      <c r="B82" s="2945" t="s">
        <v>2960</v>
      </c>
      <c r="C82" s="2945"/>
      <c r="D82" s="2945"/>
      <c r="E82" s="2945">
        <v>20840</v>
      </c>
      <c r="F82" s="2945"/>
      <c r="G82" s="2945"/>
    </row>
    <row r="83" spans="1:7" s="2779" customFormat="1" ht="14.25" customHeight="1">
      <c r="A83" s="2945" t="s">
        <v>110</v>
      </c>
      <c r="B83" s="2945" t="s">
        <v>3071</v>
      </c>
      <c r="C83" s="2945"/>
      <c r="D83" s="2945"/>
      <c r="E83" s="2945"/>
      <c r="F83" s="2945">
        <v>4770</v>
      </c>
      <c r="G83" s="2945"/>
    </row>
    <row r="84" spans="1:7" s="2779" customFormat="1" ht="14.25" customHeight="1">
      <c r="A84" s="2945" t="s">
        <v>110</v>
      </c>
      <c r="B84" s="2945" t="s">
        <v>3072</v>
      </c>
      <c r="C84" s="2945"/>
      <c r="D84" s="2945"/>
      <c r="E84" s="2945"/>
      <c r="F84" s="2945">
        <v>4600</v>
      </c>
      <c r="G84" s="2945"/>
    </row>
    <row r="85" spans="1:7" s="2779" customFormat="1" ht="14.25" customHeight="1">
      <c r="A85" s="2945" t="s">
        <v>110</v>
      </c>
      <c r="B85" s="2945" t="s">
        <v>3073</v>
      </c>
      <c r="C85" s="2945"/>
      <c r="D85" s="2945"/>
      <c r="E85" s="2945"/>
      <c r="F85" s="2945">
        <v>4680</v>
      </c>
      <c r="G85" s="2945"/>
    </row>
    <row r="86" spans="1:7" s="2779" customFormat="1" ht="14.25" customHeight="1" thickBot="1">
      <c r="A86" s="2953" t="s">
        <v>110</v>
      </c>
      <c r="B86" s="2955" t="s">
        <v>3074</v>
      </c>
      <c r="C86" s="2956">
        <v>16610</v>
      </c>
      <c r="D86" s="2956">
        <v>16540</v>
      </c>
      <c r="E86" s="2956">
        <v>18850</v>
      </c>
      <c r="F86" s="2956"/>
      <c r="G86" s="2956">
        <v>11220</v>
      </c>
    </row>
    <row r="87" spans="1:7" s="2779" customFormat="1" ht="14.25" customHeight="1">
      <c r="A87" s="2950" t="s">
        <v>303</v>
      </c>
      <c r="B87" s="2941" t="s">
        <v>3075</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2954</v>
      </c>
      <c r="C113" s="2945">
        <v>15520</v>
      </c>
      <c r="D113" s="2945">
        <v>15450</v>
      </c>
      <c r="E113" s="2945"/>
      <c r="F113" s="2945"/>
      <c r="G113" s="2958">
        <v>10210</v>
      </c>
    </row>
    <row r="114" spans="1:7" s="2779" customFormat="1" ht="14.25" customHeight="1">
      <c r="A114" s="2945" t="s">
        <v>303</v>
      </c>
      <c r="B114" s="2945" t="s">
        <v>2961</v>
      </c>
      <c r="C114" s="2945">
        <v>13110</v>
      </c>
      <c r="D114" s="2945">
        <v>13050</v>
      </c>
      <c r="E114" s="2945"/>
      <c r="F114" s="2945"/>
      <c r="G114" s="2958">
        <v>8620</v>
      </c>
    </row>
    <row r="115" spans="1:7" s="2779" customFormat="1" ht="14.25" customHeight="1">
      <c r="A115" s="2945" t="s">
        <v>303</v>
      </c>
      <c r="B115" s="2945" t="s">
        <v>2967</v>
      </c>
      <c r="C115" s="2945">
        <v>12460</v>
      </c>
      <c r="D115" s="2945">
        <v>12390</v>
      </c>
      <c r="E115" s="2945"/>
      <c r="F115" s="2945"/>
      <c r="G115" s="2958">
        <v>8190</v>
      </c>
    </row>
    <row r="116" spans="1:7" s="2779" customFormat="1" ht="14.25" customHeight="1">
      <c r="A116" s="2945" t="s">
        <v>303</v>
      </c>
      <c r="B116" s="2945" t="s">
        <v>2974</v>
      </c>
      <c r="C116" s="2945">
        <v>13580</v>
      </c>
      <c r="D116" s="2945">
        <v>13520</v>
      </c>
      <c r="E116" s="2945"/>
      <c r="F116" s="2945"/>
      <c r="G116" s="2958">
        <v>8930</v>
      </c>
    </row>
    <row r="117" spans="1:7" s="2779" customFormat="1" ht="14.25" customHeight="1">
      <c r="A117" s="2945" t="s">
        <v>303</v>
      </c>
      <c r="B117" s="2945" t="s">
        <v>2981</v>
      </c>
      <c r="C117" s="2945">
        <v>17120</v>
      </c>
      <c r="D117" s="2945">
        <v>17040</v>
      </c>
      <c r="E117" s="2945"/>
      <c r="F117" s="2945"/>
      <c r="G117" s="2958">
        <v>11260</v>
      </c>
    </row>
    <row r="118" spans="1:7" s="2779" customFormat="1" ht="14.25" customHeight="1">
      <c r="A118" s="2945" t="s">
        <v>303</v>
      </c>
      <c r="B118" s="2945" t="s">
        <v>2986</v>
      </c>
      <c r="C118" s="2945">
        <v>14860</v>
      </c>
      <c r="D118" s="2945">
        <v>14790</v>
      </c>
      <c r="E118" s="2945"/>
      <c r="F118" s="2945"/>
      <c r="G118" s="2958">
        <v>9780</v>
      </c>
    </row>
    <row r="119" spans="1:7" s="2779" customFormat="1" ht="14.25" customHeight="1">
      <c r="A119" s="2945" t="s">
        <v>303</v>
      </c>
      <c r="B119" s="2945" t="s">
        <v>2990</v>
      </c>
      <c r="C119" s="2945">
        <v>16470</v>
      </c>
      <c r="D119" s="2945">
        <v>16400</v>
      </c>
      <c r="E119" s="2945"/>
      <c r="F119" s="2945"/>
      <c r="G119" s="2958">
        <v>10840</v>
      </c>
    </row>
    <row r="120" spans="1:7" s="2779" customFormat="1" ht="14.25" customHeight="1">
      <c r="A120" s="2945" t="s">
        <v>303</v>
      </c>
      <c r="B120" s="2945" t="s">
        <v>3076</v>
      </c>
      <c r="C120" s="2945"/>
      <c r="D120" s="2945"/>
      <c r="E120" s="2945"/>
      <c r="F120" s="2945">
        <v>4160</v>
      </c>
      <c r="G120" s="2958"/>
    </row>
    <row r="121" spans="1:7" s="2779" customFormat="1" ht="14.25" customHeight="1">
      <c r="A121" s="2945" t="s">
        <v>303</v>
      </c>
      <c r="B121" s="2945" t="s">
        <v>3077</v>
      </c>
      <c r="C121" s="2945"/>
      <c r="D121" s="2945"/>
      <c r="E121" s="2945"/>
      <c r="F121" s="2945">
        <v>3880</v>
      </c>
      <c r="G121" s="2958"/>
    </row>
    <row r="122" spans="1:7" s="2779" customFormat="1" ht="14.25" customHeight="1">
      <c r="A122" s="2945" t="s">
        <v>303</v>
      </c>
      <c r="B122" s="2945" t="s">
        <v>3078</v>
      </c>
      <c r="C122" s="2945">
        <v>13750</v>
      </c>
      <c r="D122" s="2945">
        <v>13680</v>
      </c>
      <c r="E122" s="2945">
        <v>16460</v>
      </c>
      <c r="F122" s="2945">
        <v>2880</v>
      </c>
      <c r="G122" s="2958">
        <v>9040</v>
      </c>
    </row>
    <row r="123" spans="1:7" s="2779" customFormat="1" ht="14.25" customHeight="1">
      <c r="A123" s="2945" t="s">
        <v>303</v>
      </c>
      <c r="B123" s="2945" t="s">
        <v>3009</v>
      </c>
      <c r="C123" s="2945">
        <v>13590</v>
      </c>
      <c r="D123" s="2945">
        <v>13520</v>
      </c>
      <c r="E123" s="2945">
        <v>16290</v>
      </c>
      <c r="F123" s="2945">
        <v>2790</v>
      </c>
      <c r="G123" s="2958">
        <v>8930</v>
      </c>
    </row>
    <row r="124" spans="1:7" s="2779" customFormat="1" ht="14.25" customHeight="1">
      <c r="A124" s="2945" t="s">
        <v>303</v>
      </c>
      <c r="B124" s="2945" t="s">
        <v>3014</v>
      </c>
      <c r="C124" s="2945">
        <v>13400</v>
      </c>
      <c r="D124" s="2945">
        <v>13320</v>
      </c>
      <c r="E124" s="2945">
        <v>16100</v>
      </c>
      <c r="F124" s="2945">
        <v>2320</v>
      </c>
      <c r="G124" s="2958">
        <v>8800</v>
      </c>
    </row>
    <row r="125" spans="1:7" s="2779" customFormat="1" ht="14.25" customHeight="1">
      <c r="A125" s="2945" t="s">
        <v>303</v>
      </c>
      <c r="B125" s="2945" t="s">
        <v>3019</v>
      </c>
      <c r="C125" s="2945">
        <v>12860</v>
      </c>
      <c r="D125" s="2945">
        <v>12790</v>
      </c>
      <c r="E125" s="2945">
        <v>15370</v>
      </c>
      <c r="F125" s="2945">
        <v>2280</v>
      </c>
      <c r="G125" s="2958">
        <v>8450</v>
      </c>
    </row>
    <row r="126" spans="1:7" s="2779" customFormat="1" ht="14.25" customHeight="1" thickBot="1">
      <c r="A126" s="2959" t="s">
        <v>303</v>
      </c>
      <c r="B126" s="2952" t="s">
        <v>3024</v>
      </c>
      <c r="C126" s="2952">
        <v>12960</v>
      </c>
      <c r="D126" s="2952">
        <v>12890</v>
      </c>
      <c r="E126" s="2952">
        <v>15530</v>
      </c>
      <c r="F126" s="2952">
        <v>2910</v>
      </c>
      <c r="G126" s="2960">
        <v>8520</v>
      </c>
    </row>
    <row r="127" spans="1:7" s="2779" customFormat="1" ht="14.25" customHeight="1">
      <c r="A127" s="2950" t="s">
        <v>29</v>
      </c>
      <c r="B127" s="2941" t="s">
        <v>3079</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3080</v>
      </c>
      <c r="C148" s="2945">
        <v>10370</v>
      </c>
      <c r="D148" s="2945">
        <v>10310</v>
      </c>
      <c r="E148" s="2945">
        <v>12970</v>
      </c>
      <c r="F148" s="2945"/>
      <c r="G148" s="2945">
        <v>6630</v>
      </c>
    </row>
    <row r="149" spans="1:7" s="2779" customFormat="1" ht="14.25" customHeight="1">
      <c r="A149" s="2945" t="s">
        <v>29</v>
      </c>
      <c r="B149" s="2945" t="s">
        <v>3081</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2955</v>
      </c>
      <c r="C153" s="2945">
        <v>10880</v>
      </c>
      <c r="D153" s="2945">
        <v>10820</v>
      </c>
      <c r="E153" s="2945">
        <v>13660</v>
      </c>
      <c r="F153" s="2945">
        <v>2260</v>
      </c>
      <c r="G153" s="2945">
        <v>6970</v>
      </c>
    </row>
    <row r="154" spans="1:7" s="2779" customFormat="1" ht="14.25" customHeight="1">
      <c r="A154" s="2945" t="s">
        <v>29</v>
      </c>
      <c r="B154" s="2945" t="s">
        <v>3082</v>
      </c>
      <c r="C154" s="2945">
        <v>11220</v>
      </c>
      <c r="D154" s="2945">
        <v>11160</v>
      </c>
      <c r="E154" s="2945">
        <v>14130</v>
      </c>
      <c r="F154" s="2945">
        <v>2230</v>
      </c>
      <c r="G154" s="2945">
        <v>7180</v>
      </c>
    </row>
    <row r="155" spans="1:7" s="2779" customFormat="1" ht="14.25" customHeight="1">
      <c r="A155" s="2945" t="s">
        <v>29</v>
      </c>
      <c r="B155" s="2945" t="s">
        <v>2968</v>
      </c>
      <c r="C155" s="2945">
        <v>10430</v>
      </c>
      <c r="D155" s="2945">
        <v>10380</v>
      </c>
      <c r="E155" s="2945">
        <v>13140</v>
      </c>
      <c r="F155" s="2945">
        <v>2080</v>
      </c>
      <c r="G155" s="2945">
        <v>6650</v>
      </c>
    </row>
    <row r="156" spans="1:7" s="2779" customFormat="1" ht="14.25" customHeight="1">
      <c r="A156" s="2945" t="s">
        <v>29</v>
      </c>
      <c r="B156" s="2945" t="s">
        <v>3083</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3084</v>
      </c>
      <c r="C160" s="2945">
        <v>11180</v>
      </c>
      <c r="D160" s="2945">
        <v>11140</v>
      </c>
      <c r="E160" s="2945">
        <v>14050</v>
      </c>
      <c r="F160" s="2945">
        <v>2270</v>
      </c>
      <c r="G160" s="2945">
        <v>7170</v>
      </c>
    </row>
    <row r="161" spans="1:7" s="2779" customFormat="1" ht="14.25" customHeight="1">
      <c r="A161" s="2945" t="s">
        <v>29</v>
      </c>
      <c r="B161" s="2945" t="s">
        <v>3000</v>
      </c>
      <c r="C161" s="2945">
        <v>11160</v>
      </c>
      <c r="D161" s="2945">
        <v>11120</v>
      </c>
      <c r="E161" s="2945">
        <v>14020</v>
      </c>
      <c r="F161" s="2945">
        <v>2150</v>
      </c>
      <c r="G161" s="2945">
        <v>7160</v>
      </c>
    </row>
    <row r="162" spans="1:7" s="2779" customFormat="1" ht="14.25" customHeight="1">
      <c r="A162" s="2945" t="s">
        <v>29</v>
      </c>
      <c r="B162" s="2945" t="s">
        <v>3005</v>
      </c>
      <c r="C162" s="2945">
        <v>9620</v>
      </c>
      <c r="D162" s="2945">
        <v>9570</v>
      </c>
      <c r="E162" s="2945">
        <v>12320</v>
      </c>
      <c r="F162" s="2945">
        <v>2010</v>
      </c>
      <c r="G162" s="2945">
        <v>6160</v>
      </c>
    </row>
    <row r="163" spans="1:7" s="2779" customFormat="1" ht="14.25" customHeight="1">
      <c r="A163" s="2945" t="s">
        <v>29</v>
      </c>
      <c r="B163" s="2945" t="s">
        <v>3010</v>
      </c>
      <c r="C163" s="2945">
        <v>9320</v>
      </c>
      <c r="D163" s="2945">
        <v>9270</v>
      </c>
      <c r="E163" s="2945">
        <v>11790</v>
      </c>
      <c r="F163" s="2945">
        <v>1920</v>
      </c>
      <c r="G163" s="2945">
        <v>5960</v>
      </c>
    </row>
    <row r="164" spans="1:7" s="2779" customFormat="1" ht="14.25" customHeight="1">
      <c r="A164" s="2945" t="s">
        <v>29</v>
      </c>
      <c r="B164" s="2945" t="s">
        <v>3015</v>
      </c>
      <c r="C164" s="2945"/>
      <c r="D164" s="2945"/>
      <c r="E164" s="2945"/>
      <c r="F164" s="2945">
        <v>1980</v>
      </c>
      <c r="G164" s="2945"/>
    </row>
    <row r="165" spans="1:7" s="2779" customFormat="1" ht="14.25" customHeight="1">
      <c r="A165" s="2945" t="s">
        <v>29</v>
      </c>
      <c r="B165" s="2945" t="s">
        <v>3085</v>
      </c>
      <c r="C165" s="2945">
        <v>11060</v>
      </c>
      <c r="D165" s="2945">
        <v>11030</v>
      </c>
      <c r="E165" s="2945">
        <v>13850</v>
      </c>
      <c r="F165" s="2945">
        <v>2170</v>
      </c>
      <c r="G165" s="2945">
        <v>7090</v>
      </c>
    </row>
    <row r="166" spans="1:7" s="2779" customFormat="1" ht="14.25" customHeight="1">
      <c r="A166" s="2945" t="s">
        <v>29</v>
      </c>
      <c r="B166" s="2945" t="s">
        <v>3025</v>
      </c>
      <c r="C166" s="2945">
        <v>11050</v>
      </c>
      <c r="D166" s="2945">
        <v>11010</v>
      </c>
      <c r="E166" s="2945">
        <v>13920</v>
      </c>
      <c r="F166" s="2945">
        <v>2140</v>
      </c>
      <c r="G166" s="2945">
        <v>7080</v>
      </c>
    </row>
    <row r="167" spans="1:7" s="2779" customFormat="1" ht="14.25" customHeight="1">
      <c r="A167" s="2945" t="s">
        <v>29</v>
      </c>
      <c r="B167" s="2945" t="s">
        <v>3029</v>
      </c>
      <c r="C167" s="2945">
        <v>10930</v>
      </c>
      <c r="D167" s="2945">
        <v>10890</v>
      </c>
      <c r="E167" s="2945">
        <v>13790</v>
      </c>
      <c r="F167" s="2945">
        <v>2010</v>
      </c>
      <c r="G167" s="2945">
        <v>7000</v>
      </c>
    </row>
    <row r="168" spans="1:7" s="2779" customFormat="1" ht="14.25" customHeight="1">
      <c r="A168" s="2945" t="s">
        <v>29</v>
      </c>
      <c r="B168" s="2945" t="s">
        <v>3034</v>
      </c>
      <c r="C168" s="2945">
        <v>9420</v>
      </c>
      <c r="D168" s="2945">
        <v>9380</v>
      </c>
      <c r="E168" s="2945">
        <v>11970</v>
      </c>
      <c r="F168" s="2945"/>
      <c r="G168" s="2945">
        <v>6040</v>
      </c>
    </row>
    <row r="169" spans="1:7" s="2779" customFormat="1" ht="14.25" customHeight="1">
      <c r="A169" s="2945" t="s">
        <v>29</v>
      </c>
      <c r="B169" s="2945" t="s">
        <v>3086</v>
      </c>
      <c r="C169" s="2945"/>
      <c r="D169" s="2945"/>
      <c r="E169" s="2945"/>
      <c r="F169" s="2945">
        <v>2880</v>
      </c>
      <c r="G169" s="2945"/>
    </row>
    <row r="170" spans="1:7" s="2779" customFormat="1" ht="14.25" customHeight="1">
      <c r="A170" s="2945" t="s">
        <v>29</v>
      </c>
      <c r="B170" s="2945" t="s">
        <v>3042</v>
      </c>
      <c r="C170" s="2945"/>
      <c r="D170" s="2945"/>
      <c r="E170" s="2945"/>
      <c r="F170" s="2945">
        <v>2880</v>
      </c>
      <c r="G170" s="2945"/>
    </row>
    <row r="171" spans="1:7" s="2779" customFormat="1" ht="14.25" customHeight="1">
      <c r="A171" s="2945" t="s">
        <v>29</v>
      </c>
      <c r="B171" s="2945" t="s">
        <v>3045</v>
      </c>
      <c r="C171" s="2945"/>
      <c r="D171" s="2945"/>
      <c r="E171" s="2945"/>
      <c r="F171" s="2945">
        <v>2880</v>
      </c>
      <c r="G171" s="2945"/>
    </row>
    <row r="172" spans="1:7" s="2779" customFormat="1" ht="14.25" customHeight="1">
      <c r="A172" s="2945" t="s">
        <v>29</v>
      </c>
      <c r="B172" s="2945" t="s">
        <v>3047</v>
      </c>
      <c r="C172" s="2945"/>
      <c r="D172" s="2945"/>
      <c r="E172" s="2945"/>
      <c r="F172" s="2945">
        <v>2880</v>
      </c>
      <c r="G172" s="2945"/>
    </row>
    <row r="173" spans="1:7" s="2779" customFormat="1" ht="14.25" customHeight="1">
      <c r="A173" s="2945" t="s">
        <v>29</v>
      </c>
      <c r="B173" s="2945" t="s">
        <v>3049</v>
      </c>
      <c r="C173" s="2945"/>
      <c r="D173" s="2945"/>
      <c r="E173" s="2945"/>
      <c r="F173" s="2945">
        <v>2150</v>
      </c>
      <c r="G173" s="2945"/>
    </row>
    <row r="174" spans="1:7" s="2779" customFormat="1" ht="14.25" customHeight="1">
      <c r="A174" s="2945" t="s">
        <v>29</v>
      </c>
      <c r="B174" s="2945" t="s">
        <v>3051</v>
      </c>
      <c r="C174" s="2945"/>
      <c r="D174" s="2945"/>
      <c r="E174" s="2945"/>
      <c r="F174" s="2945">
        <v>2030</v>
      </c>
      <c r="G174" s="2945"/>
    </row>
    <row r="175" spans="1:7" s="2779" customFormat="1" ht="14.25" customHeight="1">
      <c r="A175" s="2945" t="s">
        <v>29</v>
      </c>
      <c r="B175" s="2945" t="s">
        <v>3053</v>
      </c>
      <c r="C175" s="2945"/>
      <c r="D175" s="2945"/>
      <c r="E175" s="2945"/>
      <c r="F175" s="2945">
        <v>2780</v>
      </c>
      <c r="G175" s="2945"/>
    </row>
    <row r="176" spans="1:7" s="2779" customFormat="1" ht="14.25" customHeight="1">
      <c r="A176" s="2945" t="s">
        <v>29</v>
      </c>
      <c r="B176" s="2945" t="s">
        <v>3055</v>
      </c>
      <c r="C176" s="2945"/>
      <c r="D176" s="2945"/>
      <c r="E176" s="2945"/>
      <c r="F176" s="2945">
        <v>2780</v>
      </c>
      <c r="G176" s="2945"/>
    </row>
    <row r="177" spans="1:7" s="2779" customFormat="1" ht="14.25" customHeight="1">
      <c r="A177" s="2945" t="s">
        <v>29</v>
      </c>
      <c r="B177" s="2945" t="s">
        <v>3087</v>
      </c>
      <c r="C177" s="2945"/>
      <c r="D177" s="2945"/>
      <c r="E177" s="2945"/>
      <c r="F177" s="2945">
        <v>2780</v>
      </c>
      <c r="G177" s="2945"/>
    </row>
    <row r="178" spans="1:7" s="2779" customFormat="1" ht="14.25" customHeight="1">
      <c r="A178" s="2945" t="s">
        <v>29</v>
      </c>
      <c r="B178" s="2945" t="s">
        <v>3088</v>
      </c>
      <c r="C178" s="2945"/>
      <c r="D178" s="2945"/>
      <c r="E178" s="2945"/>
      <c r="F178" s="2945">
        <v>2060</v>
      </c>
      <c r="G178" s="2945"/>
    </row>
    <row r="179" spans="1:7" s="2779" customFormat="1" ht="14.25" customHeight="1">
      <c r="A179" s="2945" t="s">
        <v>29</v>
      </c>
      <c r="B179" s="2945" t="s">
        <v>3089</v>
      </c>
      <c r="C179" s="2945"/>
      <c r="D179" s="2945"/>
      <c r="E179" s="2945"/>
      <c r="F179" s="2945">
        <v>2120</v>
      </c>
      <c r="G179" s="2945"/>
    </row>
    <row r="180" spans="1:7" s="2779" customFormat="1" ht="14.25" customHeight="1">
      <c r="A180" s="2945" t="s">
        <v>29</v>
      </c>
      <c r="B180" s="2945" t="s">
        <v>3061</v>
      </c>
      <c r="C180" s="2945"/>
      <c r="D180" s="2945"/>
      <c r="E180" s="2945"/>
      <c r="F180" s="2945">
        <v>2340</v>
      </c>
      <c r="G180" s="2945"/>
    </row>
    <row r="181" spans="1:7" s="2779" customFormat="1" ht="14.25" customHeight="1">
      <c r="A181" s="2945" t="s">
        <v>29</v>
      </c>
      <c r="B181" s="2945" t="s">
        <v>3062</v>
      </c>
      <c r="C181" s="2945"/>
      <c r="D181" s="2945"/>
      <c r="E181" s="2945"/>
      <c r="F181" s="2945">
        <v>2340</v>
      </c>
      <c r="G181" s="2945"/>
    </row>
    <row r="182" spans="1:7" s="2779" customFormat="1" ht="14.25" customHeight="1">
      <c r="A182" s="2945" t="s">
        <v>29</v>
      </c>
      <c r="B182" s="2945" t="s">
        <v>3063</v>
      </c>
      <c r="C182" s="2945"/>
      <c r="D182" s="2945"/>
      <c r="E182" s="2945"/>
      <c r="F182" s="2945">
        <v>2340</v>
      </c>
      <c r="G182" s="2945"/>
    </row>
    <row r="183" spans="1:7" s="2779" customFormat="1" ht="14.25" customHeight="1">
      <c r="A183" s="2945" t="s">
        <v>29</v>
      </c>
      <c r="B183" s="2945" t="s">
        <v>3064</v>
      </c>
      <c r="C183" s="2945"/>
      <c r="D183" s="2945"/>
      <c r="E183" s="2945"/>
      <c r="F183" s="2945">
        <v>2340</v>
      </c>
      <c r="G183" s="2945"/>
    </row>
    <row r="184" spans="1:7" s="2779" customFormat="1" ht="14.25" customHeight="1">
      <c r="A184" s="2945" t="s">
        <v>29</v>
      </c>
      <c r="B184" s="2945" t="s">
        <v>3065</v>
      </c>
      <c r="C184" s="2945"/>
      <c r="D184" s="2945"/>
      <c r="E184" s="2945"/>
      <c r="F184" s="2945">
        <v>2340</v>
      </c>
      <c r="G184" s="2945"/>
    </row>
    <row r="185" spans="1:7" s="2779" customFormat="1" ht="14.25" customHeight="1">
      <c r="A185" s="2945" t="s">
        <v>29</v>
      </c>
      <c r="B185" s="2945" t="s">
        <v>3066</v>
      </c>
      <c r="C185" s="2945"/>
      <c r="D185" s="2945"/>
      <c r="E185" s="2945"/>
      <c r="F185" s="2945">
        <v>2530</v>
      </c>
      <c r="G185" s="2945"/>
    </row>
    <row r="186" spans="1:7" s="2779" customFormat="1" ht="14.25" customHeight="1">
      <c r="A186" s="2945" t="s">
        <v>29</v>
      </c>
      <c r="B186" s="2945" t="s">
        <v>3067</v>
      </c>
      <c r="C186" s="2945"/>
      <c r="D186" s="2945"/>
      <c r="E186" s="2945"/>
      <c r="F186" s="2945">
        <v>2550</v>
      </c>
      <c r="G186" s="2945"/>
    </row>
    <row r="187" spans="1:7" s="2779" customFormat="1" ht="14.25" customHeight="1">
      <c r="A187" s="2945" t="s">
        <v>29</v>
      </c>
      <c r="B187" s="2945" t="s">
        <v>3068</v>
      </c>
      <c r="C187" s="2945"/>
      <c r="D187" s="2945"/>
      <c r="E187" s="2945"/>
      <c r="F187" s="2945">
        <v>2070</v>
      </c>
      <c r="G187" s="2945"/>
    </row>
    <row r="188" spans="1:7" s="2779" customFormat="1" ht="14.25" customHeight="1">
      <c r="A188" s="2945" t="s">
        <v>29</v>
      </c>
      <c r="B188" s="2945" t="s">
        <v>3069</v>
      </c>
      <c r="C188" s="2945"/>
      <c r="D188" s="2945"/>
      <c r="E188" s="2945"/>
      <c r="F188" s="2945">
        <v>2340</v>
      </c>
      <c r="G188" s="2945"/>
    </row>
    <row r="189" spans="1:7" s="2779" customFormat="1" ht="14.25" customHeight="1" thickBot="1">
      <c r="A189" s="2953" t="s">
        <v>29</v>
      </c>
      <c r="B189" s="2956" t="s">
        <v>3070</v>
      </c>
      <c r="C189" s="2956"/>
      <c r="D189" s="2956"/>
      <c r="E189" s="2956"/>
      <c r="F189" s="2956">
        <v>2050</v>
      </c>
      <c r="G189" s="2956"/>
    </row>
    <row r="190" spans="1:7" s="2779" customFormat="1" ht="14.25" customHeight="1">
      <c r="A190" s="2950" t="s">
        <v>304</v>
      </c>
      <c r="B190" s="2941" t="s">
        <v>3090</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3091</v>
      </c>
      <c r="C199" s="2945">
        <v>8690</v>
      </c>
      <c r="D199" s="2945">
        <v>8630</v>
      </c>
      <c r="E199" s="2945">
        <v>11350</v>
      </c>
      <c r="F199" s="2945">
        <v>1600</v>
      </c>
      <c r="G199" s="2958">
        <v>5450</v>
      </c>
    </row>
    <row r="200" spans="1:7" s="2779" customFormat="1" ht="14.25" customHeight="1">
      <c r="A200" s="2945" t="s">
        <v>304</v>
      </c>
      <c r="B200" s="2945" t="s">
        <v>2902</v>
      </c>
      <c r="C200" s="2945"/>
      <c r="D200" s="2945"/>
      <c r="E200" s="2945"/>
      <c r="F200" s="2945">
        <v>1510</v>
      </c>
      <c r="G200" s="2958"/>
    </row>
    <row r="201" spans="1:7" s="2779" customFormat="1" ht="14.25" customHeight="1">
      <c r="A201" s="2945" t="s">
        <v>304</v>
      </c>
      <c r="B201" s="2945" t="s">
        <v>3092</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3093</v>
      </c>
      <c r="C203" s="2945">
        <v>8130</v>
      </c>
      <c r="D203" s="2945">
        <v>8070</v>
      </c>
      <c r="E203" s="2945">
        <v>10820</v>
      </c>
      <c r="F203" s="2945">
        <v>1690</v>
      </c>
      <c r="G203" s="2958">
        <v>5100</v>
      </c>
    </row>
    <row r="204" spans="1:7" s="2779" customFormat="1" ht="14.25" customHeight="1">
      <c r="A204" s="2945" t="s">
        <v>304</v>
      </c>
      <c r="B204" s="2945" t="s">
        <v>2913</v>
      </c>
      <c r="C204" s="2945">
        <v>8350</v>
      </c>
      <c r="D204" s="2945">
        <v>8290</v>
      </c>
      <c r="E204" s="2945">
        <v>11080</v>
      </c>
      <c r="F204" s="2945">
        <v>1450</v>
      </c>
      <c r="G204" s="2958">
        <v>5240</v>
      </c>
    </row>
    <row r="205" spans="1:7" s="2779" customFormat="1" ht="14.25" customHeight="1">
      <c r="A205" s="2945" t="s">
        <v>304</v>
      </c>
      <c r="B205" s="2945" t="s">
        <v>2915</v>
      </c>
      <c r="C205" s="2945">
        <v>7190</v>
      </c>
      <c r="D205" s="2945">
        <v>7130</v>
      </c>
      <c r="E205" s="2945">
        <v>9490</v>
      </c>
      <c r="F205" s="2945">
        <v>1470</v>
      </c>
      <c r="G205" s="2958">
        <v>4510</v>
      </c>
    </row>
    <row r="206" spans="1:7" s="2779" customFormat="1" ht="14.25" customHeight="1">
      <c r="A206" s="2945" t="s">
        <v>304</v>
      </c>
      <c r="B206" s="2945" t="s">
        <v>2918</v>
      </c>
      <c r="C206" s="2945">
        <v>7000</v>
      </c>
      <c r="D206" s="2945">
        <v>6950</v>
      </c>
      <c r="E206" s="2945">
        <v>9170</v>
      </c>
      <c r="F206" s="2945">
        <v>1400</v>
      </c>
      <c r="G206" s="2958">
        <v>4380</v>
      </c>
    </row>
    <row r="207" spans="1:7" s="2779" customFormat="1" ht="14.25" customHeight="1">
      <c r="A207" s="2945" t="s">
        <v>304</v>
      </c>
      <c r="B207" s="2945" t="s">
        <v>2920</v>
      </c>
      <c r="C207" s="2945">
        <v>6950</v>
      </c>
      <c r="D207" s="2945">
        <v>6900</v>
      </c>
      <c r="E207" s="2945">
        <v>9110</v>
      </c>
      <c r="F207" s="2945">
        <v>1790</v>
      </c>
      <c r="G207" s="2958">
        <v>4360</v>
      </c>
    </row>
    <row r="208" spans="1:7" s="2779" customFormat="1" ht="14.25" customHeight="1">
      <c r="A208" s="2945" t="s">
        <v>304</v>
      </c>
      <c r="B208" s="2945" t="s">
        <v>3094</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2930</v>
      </c>
      <c r="C210" s="2945">
        <v>8710</v>
      </c>
      <c r="D210" s="2945">
        <v>8660</v>
      </c>
      <c r="E210" s="2945">
        <v>11440</v>
      </c>
      <c r="F210" s="2945">
        <v>1740</v>
      </c>
      <c r="G210" s="2958">
        <v>5470</v>
      </c>
    </row>
    <row r="211" spans="1:7" s="2779" customFormat="1" ht="14.25" customHeight="1">
      <c r="A211" s="2945" t="s">
        <v>304</v>
      </c>
      <c r="B211" s="2945" t="s">
        <v>3095</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3096</v>
      </c>
      <c r="C214" s="2945">
        <v>8090</v>
      </c>
      <c r="D214" s="2945">
        <v>8030</v>
      </c>
      <c r="E214" s="2945">
        <v>10780</v>
      </c>
      <c r="F214" s="2945">
        <v>1570</v>
      </c>
      <c r="G214" s="2958">
        <v>5070</v>
      </c>
    </row>
    <row r="215" spans="1:7" s="2779" customFormat="1" ht="14.25" customHeight="1">
      <c r="A215" s="2945" t="s">
        <v>304</v>
      </c>
      <c r="B215" s="2945" t="s">
        <v>3097</v>
      </c>
      <c r="C215" s="2945">
        <v>7950</v>
      </c>
      <c r="D215" s="2945">
        <v>7900</v>
      </c>
      <c r="E215" s="2945">
        <v>10560</v>
      </c>
      <c r="F215" s="2945">
        <v>1630</v>
      </c>
      <c r="G215" s="2958">
        <v>4990</v>
      </c>
    </row>
    <row r="216" spans="1:7" s="2779" customFormat="1" ht="14.25" customHeight="1">
      <c r="A216" s="2945" t="s">
        <v>304</v>
      </c>
      <c r="B216" s="2945" t="s">
        <v>3098</v>
      </c>
      <c r="C216" s="2945">
        <v>8490</v>
      </c>
      <c r="D216" s="2945">
        <v>8440</v>
      </c>
      <c r="E216" s="2945">
        <v>11260</v>
      </c>
      <c r="F216" s="2945">
        <v>1690</v>
      </c>
      <c r="G216" s="2958">
        <v>5330</v>
      </c>
    </row>
    <row r="217" spans="1:7" s="2779" customFormat="1" ht="14.25" customHeight="1">
      <c r="A217" s="2945" t="s">
        <v>304</v>
      </c>
      <c r="B217" s="2945" t="s">
        <v>2963</v>
      </c>
      <c r="C217" s="2945">
        <v>8200</v>
      </c>
      <c r="D217" s="2945">
        <v>8150</v>
      </c>
      <c r="E217" s="2945">
        <v>10910</v>
      </c>
      <c r="F217" s="2945">
        <v>1670</v>
      </c>
      <c r="G217" s="2958">
        <v>5150</v>
      </c>
    </row>
    <row r="218" spans="1:7" s="2779" customFormat="1" ht="14.25" customHeight="1">
      <c r="A218" s="2945" t="s">
        <v>304</v>
      </c>
      <c r="B218" s="2945" t="s">
        <v>3099</v>
      </c>
      <c r="C218" s="2945"/>
      <c r="D218" s="2945"/>
      <c r="E218" s="2945"/>
      <c r="F218" s="2945">
        <v>2040</v>
      </c>
      <c r="G218" s="2958"/>
    </row>
    <row r="219" spans="1:7" s="2779" customFormat="1" ht="14.25" customHeight="1">
      <c r="A219" s="2945" t="s">
        <v>304</v>
      </c>
      <c r="B219" s="2945" t="s">
        <v>3100</v>
      </c>
      <c r="C219" s="2945"/>
      <c r="D219" s="2945"/>
      <c r="E219" s="2945"/>
      <c r="F219" s="2945">
        <v>2040</v>
      </c>
      <c r="G219" s="2958"/>
    </row>
    <row r="220" spans="1:7" s="2779" customFormat="1" ht="14.25" customHeight="1">
      <c r="A220" s="2945" t="s">
        <v>304</v>
      </c>
      <c r="B220" s="2945" t="s">
        <v>3101</v>
      </c>
      <c r="C220" s="2945"/>
      <c r="D220" s="2945"/>
      <c r="E220" s="2945"/>
      <c r="F220" s="2945">
        <v>2040</v>
      </c>
      <c r="G220" s="2958"/>
    </row>
    <row r="221" spans="1:7" s="2779" customFormat="1" ht="14.25" customHeight="1">
      <c r="A221" s="2945" t="s">
        <v>304</v>
      </c>
      <c r="B221" s="2945" t="s">
        <v>3102</v>
      </c>
      <c r="C221" s="2945"/>
      <c r="D221" s="2945"/>
      <c r="E221" s="2945"/>
      <c r="F221" s="2945">
        <v>2040</v>
      </c>
      <c r="G221" s="2958"/>
    </row>
    <row r="222" spans="1:7" s="2779" customFormat="1" ht="14.25" customHeight="1">
      <c r="A222" s="2945" t="s">
        <v>304</v>
      </c>
      <c r="B222" s="2945" t="s">
        <v>3103</v>
      </c>
      <c r="C222" s="2945"/>
      <c r="D222" s="2945"/>
      <c r="E222" s="2945"/>
      <c r="F222" s="2945">
        <v>2040</v>
      </c>
      <c r="G222" s="2958"/>
    </row>
    <row r="223" spans="1:7" s="2779" customFormat="1" ht="14.25" customHeight="1">
      <c r="A223" s="2945" t="s">
        <v>304</v>
      </c>
      <c r="B223" s="2945" t="s">
        <v>3104</v>
      </c>
      <c r="C223" s="2945"/>
      <c r="D223" s="2945"/>
      <c r="E223" s="2945"/>
      <c r="F223" s="2945">
        <v>1930</v>
      </c>
      <c r="G223" s="2958"/>
    </row>
    <row r="224" spans="1:7" s="2779" customFormat="1" ht="14.25" customHeight="1">
      <c r="A224" s="2945" t="s">
        <v>304</v>
      </c>
      <c r="B224" s="2945" t="s">
        <v>3105</v>
      </c>
      <c r="C224" s="2945"/>
      <c r="D224" s="2945"/>
      <c r="E224" s="2945"/>
      <c r="F224" s="2945">
        <v>1930</v>
      </c>
      <c r="G224" s="2958"/>
    </row>
    <row r="225" spans="1:7" s="2779" customFormat="1" ht="14.25" customHeight="1">
      <c r="A225" s="2945" t="s">
        <v>304</v>
      </c>
      <c r="B225" s="2945" t="s">
        <v>3106</v>
      </c>
      <c r="C225" s="2945"/>
      <c r="D225" s="2945"/>
      <c r="E225" s="2945"/>
      <c r="F225" s="2945">
        <v>1930</v>
      </c>
      <c r="G225" s="2958"/>
    </row>
    <row r="226" spans="1:7" s="2779" customFormat="1" ht="14.25" customHeight="1">
      <c r="A226" s="2945" t="s">
        <v>304</v>
      </c>
      <c r="B226" s="2945" t="s">
        <v>3107</v>
      </c>
      <c r="C226" s="2945"/>
      <c r="D226" s="2945"/>
      <c r="E226" s="2945"/>
      <c r="F226" s="2945">
        <v>1700</v>
      </c>
      <c r="G226" s="2958"/>
    </row>
    <row r="227" spans="1:7" s="2779" customFormat="1" ht="14.25" customHeight="1">
      <c r="A227" s="2945" t="s">
        <v>304</v>
      </c>
      <c r="B227" s="2945" t="s">
        <v>3108</v>
      </c>
      <c r="C227" s="2945"/>
      <c r="D227" s="2945"/>
      <c r="E227" s="2945"/>
      <c r="F227" s="2945">
        <v>1520</v>
      </c>
      <c r="G227" s="2958"/>
    </row>
    <row r="228" spans="1:7" s="2779" customFormat="1" ht="14.25" customHeight="1">
      <c r="A228" s="2945" t="s">
        <v>304</v>
      </c>
      <c r="B228" s="2945" t="s">
        <v>3109</v>
      </c>
      <c r="C228" s="2945"/>
      <c r="D228" s="2945"/>
      <c r="E228" s="2945"/>
      <c r="F228" s="2945">
        <v>1520</v>
      </c>
      <c r="G228" s="2958"/>
    </row>
    <row r="229" spans="1:7" s="2779" customFormat="1" ht="14.25" customHeight="1">
      <c r="A229" s="2945" t="s">
        <v>304</v>
      </c>
      <c r="B229" s="2945" t="s">
        <v>3026</v>
      </c>
      <c r="C229" s="2945"/>
      <c r="D229" s="2945"/>
      <c r="E229" s="2945"/>
      <c r="F229" s="2945">
        <v>1520</v>
      </c>
      <c r="G229" s="2958"/>
    </row>
    <row r="230" spans="1:7" s="2779" customFormat="1" ht="14.25" customHeight="1">
      <c r="A230" s="2945" t="s">
        <v>304</v>
      </c>
      <c r="B230" s="2945" t="s">
        <v>3110</v>
      </c>
      <c r="C230" s="2945"/>
      <c r="D230" s="2945"/>
      <c r="E230" s="2945"/>
      <c r="F230" s="2945">
        <v>1820</v>
      </c>
      <c r="G230" s="2958"/>
    </row>
    <row r="231" spans="1:7" s="2779" customFormat="1" ht="14.25" customHeight="1">
      <c r="A231" s="2945" t="s">
        <v>304</v>
      </c>
      <c r="B231" s="2945" t="s">
        <v>3111</v>
      </c>
      <c r="C231" s="2945"/>
      <c r="D231" s="2945"/>
      <c r="E231" s="2945"/>
      <c r="F231" s="2945">
        <v>1760</v>
      </c>
      <c r="G231" s="2958"/>
    </row>
    <row r="232" spans="1:7" s="2779" customFormat="1" ht="14.25" customHeight="1">
      <c r="A232" s="2945" t="s">
        <v>304</v>
      </c>
      <c r="B232" s="2945" t="s">
        <v>3112</v>
      </c>
      <c r="C232" s="2945"/>
      <c r="D232" s="2945"/>
      <c r="E232" s="2945"/>
      <c r="F232" s="2945">
        <v>1840</v>
      </c>
      <c r="G232" s="2958"/>
    </row>
    <row r="233" spans="1:7" s="2779" customFormat="1" ht="14.25" customHeight="1" thickBot="1">
      <c r="A233" s="2959" t="s">
        <v>304</v>
      </c>
      <c r="B233" s="2952" t="s">
        <v>3043</v>
      </c>
      <c r="C233" s="2952"/>
      <c r="D233" s="2952"/>
      <c r="E233" s="2952"/>
      <c r="F233" s="2952">
        <v>1770</v>
      </c>
      <c r="G233" s="2960"/>
    </row>
    <row r="234" spans="1:7" s="2779" customFormat="1" ht="14.25" customHeight="1">
      <c r="A234" s="2950" t="s">
        <v>305</v>
      </c>
      <c r="B234" s="2941" t="s">
        <v>3113</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2884</v>
      </c>
      <c r="C238" s="2945">
        <v>6920</v>
      </c>
      <c r="D238" s="2945">
        <v>6890</v>
      </c>
      <c r="E238" s="2945">
        <v>8640</v>
      </c>
      <c r="F238" s="2945">
        <v>1310</v>
      </c>
      <c r="G238" s="2945">
        <v>4230</v>
      </c>
    </row>
    <row r="239" spans="1:7" s="2779" customFormat="1" ht="14.25" customHeight="1">
      <c r="A239" s="2945" t="s">
        <v>305</v>
      </c>
      <c r="B239" s="2945" t="s">
        <v>3114</v>
      </c>
      <c r="C239" s="2945">
        <v>6780</v>
      </c>
      <c r="D239" s="2945">
        <v>6750</v>
      </c>
      <c r="E239" s="2945">
        <v>8440</v>
      </c>
      <c r="F239" s="2945">
        <v>1160</v>
      </c>
      <c r="G239" s="2945">
        <v>4140</v>
      </c>
    </row>
    <row r="240" spans="1:7" s="2779" customFormat="1" ht="14.25" customHeight="1">
      <c r="A240" s="2945" t="s">
        <v>305</v>
      </c>
      <c r="B240" s="2945" t="s">
        <v>3115</v>
      </c>
      <c r="C240" s="2945">
        <v>5420</v>
      </c>
      <c r="D240" s="2945">
        <v>5380</v>
      </c>
      <c r="E240" s="2945">
        <v>6640</v>
      </c>
      <c r="F240" s="2945">
        <v>1020</v>
      </c>
      <c r="G240" s="2945">
        <v>3300</v>
      </c>
    </row>
    <row r="241" spans="1:7" s="2779" customFormat="1" ht="14.25" customHeight="1">
      <c r="A241" s="2945" t="s">
        <v>305</v>
      </c>
      <c r="B241" s="2945" t="s">
        <v>3116</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3117</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3118</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3119</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3120</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3121</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2946</v>
      </c>
      <c r="C258" s="2945">
        <v>6190</v>
      </c>
      <c r="D258" s="2945">
        <v>6160</v>
      </c>
      <c r="E258" s="2945">
        <v>7680</v>
      </c>
      <c r="F258" s="2945">
        <v>1170</v>
      </c>
      <c r="G258" s="2945">
        <v>3780</v>
      </c>
    </row>
    <row r="259" spans="1:7" s="2779" customFormat="1" ht="14.25" customHeight="1">
      <c r="A259" s="2945" t="s">
        <v>305</v>
      </c>
      <c r="B259" s="2945" t="s">
        <v>3122</v>
      </c>
      <c r="C259" s="2945">
        <v>7610</v>
      </c>
      <c r="D259" s="2945">
        <v>7570</v>
      </c>
      <c r="E259" s="2945">
        <v>9350</v>
      </c>
      <c r="F259" s="2945">
        <v>1350</v>
      </c>
      <c r="G259" s="2945">
        <v>4650</v>
      </c>
    </row>
    <row r="260" spans="1:7" s="2779" customFormat="1" ht="14.25" customHeight="1">
      <c r="A260" s="2945" t="s">
        <v>305</v>
      </c>
      <c r="B260" s="2945" t="s">
        <v>3123</v>
      </c>
      <c r="C260" s="2945">
        <v>6920</v>
      </c>
      <c r="D260" s="2945">
        <v>6880</v>
      </c>
      <c r="E260" s="2945">
        <v>8380</v>
      </c>
      <c r="F260" s="2945">
        <v>1160</v>
      </c>
      <c r="G260" s="2945">
        <v>4220</v>
      </c>
    </row>
    <row r="261" spans="1:7" s="2779" customFormat="1" ht="14.25" customHeight="1">
      <c r="A261" s="2945" t="s">
        <v>305</v>
      </c>
      <c r="B261" s="2945" t="s">
        <v>3124</v>
      </c>
      <c r="C261" s="2945">
        <v>6850</v>
      </c>
      <c r="D261" s="2945">
        <v>6810</v>
      </c>
      <c r="E261" s="2945">
        <v>8290</v>
      </c>
      <c r="F261" s="2945">
        <v>1130</v>
      </c>
      <c r="G261" s="2945">
        <v>4180</v>
      </c>
    </row>
    <row r="262" spans="1:7" s="2779" customFormat="1" ht="14.25" customHeight="1">
      <c r="A262" s="2945" t="s">
        <v>305</v>
      </c>
      <c r="B262" s="2945" t="s">
        <v>3125</v>
      </c>
      <c r="C262" s="2945">
        <v>5860</v>
      </c>
      <c r="D262" s="2945">
        <v>5820</v>
      </c>
      <c r="E262" s="2945">
        <v>7640</v>
      </c>
      <c r="F262" s="2945">
        <v>1070</v>
      </c>
      <c r="G262" s="2945">
        <v>3570</v>
      </c>
    </row>
    <row r="263" spans="1:7" s="2779" customFormat="1" ht="14.25" customHeight="1">
      <c r="A263" s="2945" t="s">
        <v>305</v>
      </c>
      <c r="B263" s="2945" t="s">
        <v>3126</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3127</v>
      </c>
      <c r="C265" s="2945"/>
      <c r="D265" s="2945"/>
      <c r="E265" s="2945"/>
      <c r="F265" s="2945">
        <v>1500</v>
      </c>
      <c r="G265" s="2945"/>
    </row>
    <row r="266" spans="1:7" s="2779" customFormat="1" ht="14.25" customHeight="1">
      <c r="A266" s="2945" t="s">
        <v>305</v>
      </c>
      <c r="B266" s="2945" t="s">
        <v>3128</v>
      </c>
      <c r="C266" s="2945"/>
      <c r="D266" s="2945"/>
      <c r="E266" s="2945"/>
      <c r="F266" s="2945">
        <v>1500</v>
      </c>
      <c r="G266" s="2945"/>
    </row>
    <row r="267" spans="1:7" s="2779" customFormat="1" ht="14.25" customHeight="1">
      <c r="A267" s="2945" t="s">
        <v>305</v>
      </c>
      <c r="B267" s="2945" t="s">
        <v>3129</v>
      </c>
      <c r="C267" s="2945"/>
      <c r="D267" s="2945"/>
      <c r="E267" s="2945"/>
      <c r="F267" s="2945">
        <v>1500</v>
      </c>
      <c r="G267" s="2945"/>
    </row>
    <row r="268" spans="1:7" s="2779" customFormat="1" ht="14.25" customHeight="1">
      <c r="A268" s="2945" t="s">
        <v>305</v>
      </c>
      <c r="B268" s="2945" t="s">
        <v>3130</v>
      </c>
      <c r="C268" s="2945"/>
      <c r="D268" s="2945"/>
      <c r="E268" s="2945"/>
      <c r="F268" s="2945">
        <v>1290</v>
      </c>
      <c r="G268" s="2945"/>
    </row>
    <row r="269" spans="1:7" s="2779" customFormat="1" ht="14.25" customHeight="1">
      <c r="A269" s="2945" t="s">
        <v>305</v>
      </c>
      <c r="B269" s="2945" t="s">
        <v>3131</v>
      </c>
      <c r="C269" s="2945"/>
      <c r="D269" s="2945"/>
      <c r="E269" s="2945"/>
      <c r="F269" s="2945">
        <v>1150</v>
      </c>
      <c r="G269" s="2945"/>
    </row>
    <row r="270" spans="1:7" s="2779" customFormat="1" ht="14.25" customHeight="1">
      <c r="A270" s="2945" t="s">
        <v>305</v>
      </c>
      <c r="B270" s="2945" t="s">
        <v>3132</v>
      </c>
      <c r="C270" s="2945"/>
      <c r="D270" s="2945"/>
      <c r="E270" s="2945"/>
      <c r="F270" s="2945">
        <v>1380</v>
      </c>
      <c r="G270" s="2945"/>
    </row>
    <row r="271" spans="1:7" s="2779" customFormat="1" ht="14.25" customHeight="1">
      <c r="A271" s="2945" t="s">
        <v>305</v>
      </c>
      <c r="B271" s="2945" t="s">
        <v>3133</v>
      </c>
      <c r="C271" s="2945"/>
      <c r="D271" s="2945"/>
      <c r="E271" s="2945"/>
      <c r="F271" s="2945">
        <v>1460</v>
      </c>
      <c r="G271" s="2945"/>
    </row>
    <row r="272" spans="1:7" s="2779" customFormat="1" ht="14.25" customHeight="1">
      <c r="A272" s="2945" t="s">
        <v>305</v>
      </c>
      <c r="B272" s="2945" t="s">
        <v>3134</v>
      </c>
      <c r="C272" s="2945"/>
      <c r="D272" s="2945"/>
      <c r="E272" s="2945"/>
      <c r="F272" s="2945">
        <v>1460</v>
      </c>
      <c r="G272" s="2945"/>
    </row>
    <row r="273" spans="1:7" s="2779" customFormat="1" ht="14.25" customHeight="1">
      <c r="A273" s="2945" t="s">
        <v>305</v>
      </c>
      <c r="B273" s="2945" t="s">
        <v>3027</v>
      </c>
      <c r="C273" s="2945"/>
      <c r="D273" s="2945"/>
      <c r="E273" s="2945"/>
      <c r="F273" s="2945">
        <v>1490</v>
      </c>
      <c r="G273" s="2945"/>
    </row>
    <row r="274" spans="1:7" s="2779" customFormat="1" ht="14.25" customHeight="1">
      <c r="A274" s="2945" t="s">
        <v>305</v>
      </c>
      <c r="B274" s="2945" t="s">
        <v>3135</v>
      </c>
      <c r="C274" s="2945"/>
      <c r="D274" s="2945"/>
      <c r="E274" s="2945"/>
      <c r="F274" s="2945">
        <v>1490</v>
      </c>
      <c r="G274" s="2945"/>
    </row>
    <row r="275" spans="1:7" s="2779" customFormat="1" ht="14.25" customHeight="1">
      <c r="A275" s="2945" t="s">
        <v>305</v>
      </c>
      <c r="B275" s="2945" t="s">
        <v>3136</v>
      </c>
      <c r="C275" s="2945"/>
      <c r="D275" s="2945"/>
      <c r="E275" s="2945"/>
      <c r="F275" s="2945">
        <v>1220</v>
      </c>
      <c r="G275" s="2945"/>
    </row>
    <row r="276" spans="1:7" s="2779" customFormat="1" ht="14.25" customHeight="1" thickBot="1">
      <c r="A276" s="2953" t="s">
        <v>305</v>
      </c>
      <c r="B276" s="2955" t="s">
        <v>3137</v>
      </c>
      <c r="C276" s="2956"/>
      <c r="D276" s="2956"/>
      <c r="E276" s="2956"/>
      <c r="F276" s="2956">
        <v>1380</v>
      </c>
      <c r="G276" s="2956"/>
    </row>
    <row r="277" spans="1:7" s="2779" customFormat="1" ht="14.25" customHeight="1">
      <c r="A277" s="2950" t="s">
        <v>306</v>
      </c>
      <c r="B277" s="2941" t="s">
        <v>3138</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3139</v>
      </c>
      <c r="C279" s="2945">
        <v>4760</v>
      </c>
      <c r="D279" s="2945">
        <v>4720</v>
      </c>
      <c r="E279" s="2945">
        <v>5540</v>
      </c>
      <c r="F279" s="2945">
        <v>810</v>
      </c>
      <c r="G279" s="2958">
        <v>2850</v>
      </c>
    </row>
    <row r="280" spans="1:7" s="2779" customFormat="1" ht="14.25" customHeight="1">
      <c r="A280" s="2945" t="s">
        <v>306</v>
      </c>
      <c r="B280" s="2945" t="s">
        <v>3140</v>
      </c>
      <c r="C280" s="2945">
        <v>4010</v>
      </c>
      <c r="D280" s="2945">
        <v>3950</v>
      </c>
      <c r="E280" s="2945">
        <v>4710</v>
      </c>
      <c r="F280" s="2945">
        <v>800</v>
      </c>
      <c r="G280" s="2958">
        <v>2390</v>
      </c>
    </row>
    <row r="281" spans="1:7" s="2779" customFormat="1" ht="14.25" customHeight="1">
      <c r="A281" s="2945" t="s">
        <v>306</v>
      </c>
      <c r="B281" s="2945" t="s">
        <v>3141</v>
      </c>
      <c r="C281" s="2945">
        <v>4480</v>
      </c>
      <c r="D281" s="2945">
        <v>4420</v>
      </c>
      <c r="E281" s="2945">
        <v>5230</v>
      </c>
      <c r="F281" s="2945">
        <v>870</v>
      </c>
      <c r="G281" s="2958">
        <v>2660</v>
      </c>
    </row>
    <row r="282" spans="1:7" s="2779" customFormat="1" ht="14.25" customHeight="1">
      <c r="A282" s="2945" t="s">
        <v>306</v>
      </c>
      <c r="B282" s="2945" t="s">
        <v>3142</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3143</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3144</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2919</v>
      </c>
      <c r="C293" s="2945">
        <v>5320</v>
      </c>
      <c r="D293" s="2945">
        <v>5270</v>
      </c>
      <c r="E293" s="2945">
        <v>6160</v>
      </c>
      <c r="F293" s="2945">
        <v>990</v>
      </c>
      <c r="G293" s="2958">
        <v>3170</v>
      </c>
    </row>
    <row r="294" spans="1:7" s="2779" customFormat="1" ht="14.25" customHeight="1">
      <c r="A294" s="2945" t="s">
        <v>306</v>
      </c>
      <c r="B294" s="2945" t="s">
        <v>3145</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2938</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3146</v>
      </c>
      <c r="C302" s="2945">
        <v>5520</v>
      </c>
      <c r="D302" s="2945">
        <v>5470</v>
      </c>
      <c r="E302" s="2945">
        <v>6410</v>
      </c>
      <c r="F302" s="2945">
        <v>950</v>
      </c>
      <c r="G302" s="2958">
        <v>3300</v>
      </c>
    </row>
    <row r="303" spans="1:7" s="2779" customFormat="1" ht="14.25" customHeight="1">
      <c r="A303" s="2945" t="s">
        <v>306</v>
      </c>
      <c r="B303" s="2945" t="s">
        <v>2958</v>
      </c>
      <c r="C303" s="2945">
        <v>5630</v>
      </c>
      <c r="D303" s="2945">
        <v>5590</v>
      </c>
      <c r="E303" s="2945">
        <v>6550</v>
      </c>
      <c r="F303" s="2945">
        <v>1010</v>
      </c>
      <c r="G303" s="2958">
        <v>3370</v>
      </c>
    </row>
    <row r="304" spans="1:7" s="2779" customFormat="1" ht="14.25" customHeight="1">
      <c r="A304" s="2945" t="s">
        <v>306</v>
      </c>
      <c r="B304" s="2945" t="s">
        <v>2965</v>
      </c>
      <c r="C304" s="2945">
        <v>5680</v>
      </c>
      <c r="D304" s="2945">
        <v>5620</v>
      </c>
      <c r="E304" s="2945">
        <v>6620</v>
      </c>
      <c r="F304" s="2945">
        <v>1050</v>
      </c>
      <c r="G304" s="2958">
        <v>3390</v>
      </c>
    </row>
    <row r="305" spans="1:7" s="2779" customFormat="1" ht="14.25" customHeight="1">
      <c r="A305" s="2945" t="s">
        <v>306</v>
      </c>
      <c r="B305" s="2945" t="s">
        <v>2971</v>
      </c>
      <c r="C305" s="2945">
        <v>5590</v>
      </c>
      <c r="D305" s="2945">
        <v>5530</v>
      </c>
      <c r="E305" s="2945">
        <v>6460</v>
      </c>
      <c r="F305" s="2945">
        <v>900</v>
      </c>
      <c r="G305" s="2958">
        <v>3340</v>
      </c>
    </row>
    <row r="306" spans="1:7" s="2779" customFormat="1" ht="14.25" customHeight="1">
      <c r="A306" s="2945" t="s">
        <v>306</v>
      </c>
      <c r="B306" s="2945" t="s">
        <v>3147</v>
      </c>
      <c r="C306" s="2945">
        <v>5560</v>
      </c>
      <c r="D306" s="2945">
        <v>5510</v>
      </c>
      <c r="E306" s="2945">
        <v>6440</v>
      </c>
      <c r="F306" s="2945">
        <v>900</v>
      </c>
      <c r="G306" s="2958">
        <v>3320</v>
      </c>
    </row>
    <row r="307" spans="1:7" s="2779" customFormat="1" ht="14.25" customHeight="1">
      <c r="A307" s="2945" t="s">
        <v>306</v>
      </c>
      <c r="B307" s="2945" t="s">
        <v>2983</v>
      </c>
      <c r="C307" s="2945">
        <v>5650</v>
      </c>
      <c r="D307" s="2945">
        <v>5600</v>
      </c>
      <c r="E307" s="2945">
        <v>6590</v>
      </c>
      <c r="F307" s="2945">
        <v>930</v>
      </c>
      <c r="G307" s="2958">
        <v>3380</v>
      </c>
    </row>
    <row r="308" spans="1:7" s="2779" customFormat="1" ht="14.25" customHeight="1">
      <c r="A308" s="2945" t="s">
        <v>306</v>
      </c>
      <c r="B308" s="2945" t="s">
        <v>3148</v>
      </c>
      <c r="C308" s="2945">
        <v>5620</v>
      </c>
      <c r="D308" s="2945">
        <v>5580</v>
      </c>
      <c r="E308" s="2945">
        <v>6540</v>
      </c>
      <c r="F308" s="2945">
        <v>910</v>
      </c>
      <c r="G308" s="2958">
        <v>3370</v>
      </c>
    </row>
    <row r="309" spans="1:7" s="2779" customFormat="1" ht="14.25" customHeight="1">
      <c r="A309" s="2945" t="s">
        <v>306</v>
      </c>
      <c r="B309" s="2945" t="s">
        <v>3149</v>
      </c>
      <c r="C309" s="2945">
        <v>5060</v>
      </c>
      <c r="D309" s="2945">
        <v>5020</v>
      </c>
      <c r="E309" s="2945">
        <v>6370</v>
      </c>
      <c r="F309" s="2945">
        <v>800</v>
      </c>
      <c r="G309" s="2958">
        <v>3020</v>
      </c>
    </row>
    <row r="310" spans="1:7" s="2779" customFormat="1" ht="14.25" customHeight="1">
      <c r="A310" s="2945" t="s">
        <v>306</v>
      </c>
      <c r="B310" s="2945" t="s">
        <v>2998</v>
      </c>
      <c r="C310" s="2945">
        <v>5150</v>
      </c>
      <c r="D310" s="2945">
        <v>5110</v>
      </c>
      <c r="E310" s="2945">
        <v>6500</v>
      </c>
      <c r="F310" s="2945">
        <v>880</v>
      </c>
      <c r="G310" s="2958">
        <v>3080</v>
      </c>
    </row>
    <row r="311" spans="1:7" s="2779" customFormat="1" ht="14.25" customHeight="1">
      <c r="A311" s="2945" t="s">
        <v>306</v>
      </c>
      <c r="B311" s="2945" t="s">
        <v>3150</v>
      </c>
      <c r="C311" s="2945">
        <v>4750</v>
      </c>
      <c r="D311" s="2945">
        <v>4710</v>
      </c>
      <c r="E311" s="2945">
        <v>5510</v>
      </c>
      <c r="F311" s="2945">
        <v>880</v>
      </c>
      <c r="G311" s="2958">
        <v>2840</v>
      </c>
    </row>
    <row r="312" spans="1:7" s="2779" customFormat="1" ht="14.25" customHeight="1">
      <c r="A312" s="2945" t="s">
        <v>306</v>
      </c>
      <c r="B312" s="2945" t="s">
        <v>3008</v>
      </c>
      <c r="C312" s="2945">
        <v>4690</v>
      </c>
      <c r="D312" s="2945">
        <v>4640</v>
      </c>
      <c r="E312" s="2945">
        <v>5420</v>
      </c>
      <c r="F312" s="2945">
        <v>800</v>
      </c>
      <c r="G312" s="2958">
        <v>2800</v>
      </c>
    </row>
    <row r="313" spans="1:7" s="2779" customFormat="1" ht="14.25" customHeight="1">
      <c r="A313" s="2945" t="s">
        <v>306</v>
      </c>
      <c r="B313" s="2945" t="s">
        <v>3013</v>
      </c>
      <c r="C313" s="2945">
        <v>4810</v>
      </c>
      <c r="D313" s="2945">
        <v>4760</v>
      </c>
      <c r="E313" s="2945">
        <v>5550</v>
      </c>
      <c r="F313" s="2945">
        <v>920</v>
      </c>
      <c r="G313" s="2958">
        <v>2870</v>
      </c>
    </row>
    <row r="314" spans="1:7" s="2779" customFormat="1" ht="14.25" customHeight="1">
      <c r="A314" s="2945" t="s">
        <v>306</v>
      </c>
      <c r="B314" s="2945" t="s">
        <v>3151</v>
      </c>
      <c r="C314" s="2945"/>
      <c r="D314" s="2945"/>
      <c r="E314" s="2945"/>
      <c r="F314" s="2945">
        <v>1020</v>
      </c>
      <c r="G314" s="2958"/>
    </row>
    <row r="315" spans="1:7" s="2779" customFormat="1" ht="14.25" customHeight="1">
      <c r="A315" s="2945" t="s">
        <v>306</v>
      </c>
      <c r="B315" s="2945" t="s">
        <v>3152</v>
      </c>
      <c r="C315" s="2945"/>
      <c r="D315" s="2945"/>
      <c r="E315" s="2945"/>
      <c r="F315" s="2945">
        <v>1050</v>
      </c>
      <c r="G315" s="2958"/>
    </row>
    <row r="316" spans="1:7" s="2779" customFormat="1" ht="14.25" customHeight="1">
      <c r="A316" s="2945" t="s">
        <v>306</v>
      </c>
      <c r="B316" s="2945" t="s">
        <v>3028</v>
      </c>
      <c r="C316" s="2945"/>
      <c r="D316" s="2945"/>
      <c r="E316" s="2945"/>
      <c r="F316" s="2945">
        <v>900</v>
      </c>
      <c r="G316" s="2958"/>
    </row>
    <row r="317" spans="1:7" s="2779" customFormat="1" ht="14.25" customHeight="1">
      <c r="A317" s="2945" t="s">
        <v>306</v>
      </c>
      <c r="B317" s="2945" t="s">
        <v>3153</v>
      </c>
      <c r="C317" s="2945"/>
      <c r="D317" s="2945"/>
      <c r="E317" s="2945"/>
      <c r="F317" s="2945">
        <v>920</v>
      </c>
      <c r="G317" s="2958"/>
    </row>
    <row r="318" spans="1:7" s="2779" customFormat="1" ht="14.25" customHeight="1">
      <c r="A318" s="2945" t="s">
        <v>306</v>
      </c>
      <c r="B318" s="2945" t="s">
        <v>3154</v>
      </c>
      <c r="C318" s="2945"/>
      <c r="D318" s="2945"/>
      <c r="E318" s="2945"/>
      <c r="F318" s="2945">
        <v>1080</v>
      </c>
      <c r="G318" s="2958"/>
    </row>
    <row r="319" spans="1:7" s="2779" customFormat="1" ht="14.25" customHeight="1">
      <c r="A319" s="2945" t="s">
        <v>306</v>
      </c>
      <c r="B319" s="2945" t="s">
        <v>3041</v>
      </c>
      <c r="C319" s="2945"/>
      <c r="D319" s="2945"/>
      <c r="E319" s="2945"/>
      <c r="F319" s="2945">
        <v>1020</v>
      </c>
      <c r="G319" s="2958"/>
    </row>
    <row r="320" spans="1:7" s="2779" customFormat="1" ht="14.25" customHeight="1">
      <c r="A320" s="2945" t="s">
        <v>306</v>
      </c>
      <c r="B320" s="2945" t="s">
        <v>3044</v>
      </c>
      <c r="C320" s="2945"/>
      <c r="D320" s="2945"/>
      <c r="E320" s="2945"/>
      <c r="F320" s="2945">
        <v>1050</v>
      </c>
      <c r="G320" s="2958"/>
    </row>
    <row r="321" spans="1:7" s="2779" customFormat="1" ht="14.25" customHeight="1">
      <c r="A321" s="2945" t="s">
        <v>306</v>
      </c>
      <c r="B321" s="2945" t="s">
        <v>3046</v>
      </c>
      <c r="C321" s="2945"/>
      <c r="D321" s="2945"/>
      <c r="E321" s="2945"/>
      <c r="F321" s="2945">
        <v>960</v>
      </c>
      <c r="G321" s="2958"/>
    </row>
    <row r="322" spans="1:7" s="2779" customFormat="1" ht="14.25" customHeight="1">
      <c r="A322" s="2945" t="s">
        <v>306</v>
      </c>
      <c r="B322" s="2945" t="s">
        <v>3048</v>
      </c>
      <c r="C322" s="2945"/>
      <c r="D322" s="2945"/>
      <c r="E322" s="2945"/>
      <c r="F322" s="2945">
        <v>960</v>
      </c>
      <c r="G322" s="2958"/>
    </row>
    <row r="323" spans="1:7" s="2779" customFormat="1" ht="14.25" customHeight="1">
      <c r="A323" s="2945" t="s">
        <v>306</v>
      </c>
      <c r="B323" s="2945" t="s">
        <v>3050</v>
      </c>
      <c r="C323" s="2945"/>
      <c r="D323" s="2945"/>
      <c r="E323" s="2945"/>
      <c r="F323" s="2945">
        <v>880</v>
      </c>
      <c r="G323" s="2958"/>
    </row>
    <row r="324" spans="1:7" s="2779" customFormat="1" ht="14.25" customHeight="1">
      <c r="A324" s="2945" t="s">
        <v>306</v>
      </c>
      <c r="B324" s="2945" t="s">
        <v>3052</v>
      </c>
      <c r="C324" s="2945"/>
      <c r="D324" s="2945"/>
      <c r="E324" s="2945"/>
      <c r="F324" s="2945">
        <v>930</v>
      </c>
      <c r="G324" s="2958"/>
    </row>
    <row r="325" spans="1:7" s="2779" customFormat="1" ht="14.25" customHeight="1">
      <c r="A325" s="2945" t="s">
        <v>306</v>
      </c>
      <c r="B325" s="2946" t="s">
        <v>3054</v>
      </c>
      <c r="C325" s="2945"/>
      <c r="D325" s="2945"/>
      <c r="E325" s="2945"/>
      <c r="F325" s="2945">
        <v>900</v>
      </c>
      <c r="G325" s="2958"/>
    </row>
    <row r="326" spans="1:7" s="2779" customFormat="1" ht="14.25" customHeight="1" thickBot="1">
      <c r="A326" s="2959" t="s">
        <v>306</v>
      </c>
      <c r="B326" s="2952" t="s">
        <v>3056</v>
      </c>
      <c r="C326" s="2952"/>
      <c r="D326" s="2952"/>
      <c r="E326" s="2952"/>
      <c r="F326" s="2952">
        <v>790</v>
      </c>
      <c r="G326" s="2960"/>
    </row>
    <row r="327" spans="1:7" s="2779" customFormat="1" ht="14.25" customHeight="1">
      <c r="A327" s="2950" t="s">
        <v>307</v>
      </c>
      <c r="B327" s="2941" t="s">
        <v>3155</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3156</v>
      </c>
      <c r="C329" s="2945">
        <v>2730</v>
      </c>
      <c r="D329" s="2945">
        <v>2690</v>
      </c>
      <c r="E329" s="2945">
        <v>3100</v>
      </c>
      <c r="F329" s="2945">
        <v>660</v>
      </c>
      <c r="G329" s="2945">
        <v>1610</v>
      </c>
    </row>
    <row r="330" spans="1:7" s="2779" customFormat="1" ht="14.25" customHeight="1">
      <c r="A330" s="2945" t="s">
        <v>307</v>
      </c>
      <c r="B330" s="2945" t="s">
        <v>3157</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2890</v>
      </c>
      <c r="C332" s="2945">
        <v>3520</v>
      </c>
      <c r="D332" s="2945">
        <v>3480</v>
      </c>
      <c r="E332" s="2945">
        <v>3830</v>
      </c>
      <c r="F332" s="2945">
        <v>720</v>
      </c>
      <c r="G332" s="2945">
        <v>2090</v>
      </c>
    </row>
    <row r="333" spans="1:7" s="2779" customFormat="1" ht="14.25" customHeight="1">
      <c r="A333" s="2945" t="s">
        <v>307</v>
      </c>
      <c r="B333" s="2945" t="s">
        <v>3158</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2900</v>
      </c>
      <c r="C336" s="2945">
        <v>3570</v>
      </c>
      <c r="D336" s="2945">
        <v>3530</v>
      </c>
      <c r="E336" s="2945">
        <v>3880</v>
      </c>
      <c r="F336" s="2945">
        <v>770</v>
      </c>
      <c r="G336" s="2945">
        <v>2110</v>
      </c>
    </row>
    <row r="337" spans="1:10" s="2779" customFormat="1" ht="14.25" customHeight="1">
      <c r="A337" s="2945" t="s">
        <v>307</v>
      </c>
      <c r="B337" s="2945" t="s">
        <v>3159</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3160</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3161</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2925</v>
      </c>
      <c r="C345" s="2945">
        <v>3190</v>
      </c>
      <c r="D345" s="2945">
        <v>3140</v>
      </c>
      <c r="E345" s="2945">
        <v>3450</v>
      </c>
      <c r="F345" s="2945">
        <v>720</v>
      </c>
      <c r="G345" s="2945">
        <v>1880</v>
      </c>
      <c r="J345" s="2779"/>
    </row>
    <row r="346" spans="1:10">
      <c r="A346" s="2945" t="s">
        <v>307</v>
      </c>
      <c r="B346" s="2945" t="s">
        <v>3162</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2934</v>
      </c>
      <c r="C348" s="2945">
        <v>4000</v>
      </c>
      <c r="D348" s="2945">
        <v>3950</v>
      </c>
      <c r="E348" s="2945">
        <v>4430</v>
      </c>
      <c r="F348" s="2945">
        <v>760</v>
      </c>
      <c r="G348" s="2945">
        <v>2360</v>
      </c>
      <c r="J348" s="2779"/>
    </row>
    <row r="349" spans="1:10">
      <c r="A349" s="2945" t="s">
        <v>307</v>
      </c>
      <c r="B349" s="2945" t="s">
        <v>2939</v>
      </c>
      <c r="C349" s="2945">
        <v>3820</v>
      </c>
      <c r="D349" s="2945">
        <v>3780</v>
      </c>
      <c r="E349" s="2945">
        <v>4170</v>
      </c>
      <c r="F349" s="2945">
        <v>710</v>
      </c>
      <c r="G349" s="2945">
        <v>2260</v>
      </c>
      <c r="J349" s="2779"/>
    </row>
    <row r="350" spans="1:10">
      <c r="A350" s="2945" t="s">
        <v>307</v>
      </c>
      <c r="B350" s="2945" t="s">
        <v>3163</v>
      </c>
      <c r="C350" s="2945">
        <v>3760</v>
      </c>
      <c r="D350" s="2945">
        <v>3730</v>
      </c>
      <c r="E350" s="2945">
        <v>4100</v>
      </c>
      <c r="F350" s="2945">
        <v>800</v>
      </c>
      <c r="G350" s="2945">
        <v>2230</v>
      </c>
      <c r="J350" s="2779"/>
    </row>
    <row r="351" spans="1:10">
      <c r="A351" s="2945" t="s">
        <v>307</v>
      </c>
      <c r="B351" s="2945" t="s">
        <v>2947</v>
      </c>
      <c r="C351" s="2945">
        <v>3610</v>
      </c>
      <c r="D351" s="2945">
        <v>3580</v>
      </c>
      <c r="E351" s="2945">
        <v>3930</v>
      </c>
      <c r="F351" s="2945">
        <v>700</v>
      </c>
      <c r="G351" s="2945">
        <v>2140</v>
      </c>
      <c r="J351" s="2779"/>
    </row>
    <row r="352" spans="1:10">
      <c r="A352" s="2945" t="s">
        <v>307</v>
      </c>
      <c r="B352" s="2945" t="s">
        <v>2952</v>
      </c>
      <c r="C352" s="2945">
        <v>3670</v>
      </c>
      <c r="D352" s="2945">
        <v>3630</v>
      </c>
      <c r="E352" s="2945">
        <v>4000</v>
      </c>
      <c r="F352" s="2945">
        <v>750</v>
      </c>
      <c r="G352" s="2945">
        <v>2180</v>
      </c>
    </row>
    <row r="353" spans="1:7" s="2780" customFormat="1">
      <c r="A353" s="2945" t="s">
        <v>307</v>
      </c>
      <c r="B353" s="2945" t="s">
        <v>3164</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2972</v>
      </c>
      <c r="C355" s="2945">
        <v>3650</v>
      </c>
      <c r="D355" s="2945">
        <v>3610</v>
      </c>
      <c r="E355" s="2945">
        <v>4200</v>
      </c>
      <c r="F355" s="2945">
        <v>640</v>
      </c>
      <c r="G355" s="2945">
        <v>2160</v>
      </c>
    </row>
    <row r="356" spans="1:7" s="2780" customFormat="1">
      <c r="A356" s="2945" t="s">
        <v>307</v>
      </c>
      <c r="B356" s="2945" t="s">
        <v>2979</v>
      </c>
      <c r="C356" s="2945">
        <v>3260</v>
      </c>
      <c r="D356" s="2945">
        <v>3230</v>
      </c>
      <c r="E356" s="2945">
        <v>3740</v>
      </c>
      <c r="F356" s="2945">
        <v>600</v>
      </c>
      <c r="G356" s="2945">
        <v>1930</v>
      </c>
    </row>
    <row r="357" spans="1:7" s="2780" customFormat="1" ht="12" thickBot="1">
      <c r="A357" s="2953" t="s">
        <v>307</v>
      </c>
      <c r="B357" s="2956" t="s">
        <v>3165</v>
      </c>
      <c r="C357" s="2956">
        <v>3690</v>
      </c>
      <c r="D357" s="2956">
        <v>3650</v>
      </c>
      <c r="E357" s="2956">
        <v>4020</v>
      </c>
      <c r="F357" s="2956">
        <v>700</v>
      </c>
      <c r="G357" s="2956">
        <v>2190</v>
      </c>
    </row>
    <row r="358" spans="1:7" s="2780" customFormat="1">
      <c r="A358" s="2950" t="s">
        <v>3166</v>
      </c>
      <c r="B358" s="2941" t="s">
        <v>3167</v>
      </c>
      <c r="C358" s="2941">
        <v>2080</v>
      </c>
      <c r="D358" s="2941">
        <v>2040</v>
      </c>
      <c r="E358" s="2941">
        <v>2010</v>
      </c>
      <c r="F358" s="2941">
        <v>530</v>
      </c>
      <c r="G358" s="2957">
        <v>1230</v>
      </c>
    </row>
    <row r="359" spans="1:7" s="2780" customFormat="1">
      <c r="A359" s="2945" t="s">
        <v>3166</v>
      </c>
      <c r="B359" s="2945" t="s">
        <v>3168</v>
      </c>
      <c r="C359" s="2945">
        <v>1850</v>
      </c>
      <c r="D359" s="2945">
        <v>1820</v>
      </c>
      <c r="E359" s="2945">
        <v>1780</v>
      </c>
      <c r="F359" s="2945">
        <v>520</v>
      </c>
      <c r="G359" s="2958">
        <v>1100</v>
      </c>
    </row>
    <row r="360" spans="1:7" s="2780" customFormat="1">
      <c r="A360" s="2945" t="s">
        <v>3166</v>
      </c>
      <c r="B360" s="2945" t="s">
        <v>3169</v>
      </c>
      <c r="C360" s="2945">
        <v>2020</v>
      </c>
      <c r="D360" s="2945">
        <v>1990</v>
      </c>
      <c r="E360" s="2945">
        <v>1950</v>
      </c>
      <c r="F360" s="2945">
        <v>500</v>
      </c>
      <c r="G360" s="2958">
        <v>1200</v>
      </c>
    </row>
    <row r="361" spans="1:7" s="2780" customFormat="1">
      <c r="A361" s="2945" t="s">
        <v>3166</v>
      </c>
      <c r="B361" s="2945" t="s">
        <v>153</v>
      </c>
      <c r="C361" s="2945">
        <v>2260</v>
      </c>
      <c r="D361" s="2945">
        <v>2220</v>
      </c>
      <c r="E361" s="2945">
        <v>2180</v>
      </c>
      <c r="F361" s="2945">
        <v>580</v>
      </c>
      <c r="G361" s="2958">
        <v>1340</v>
      </c>
    </row>
    <row r="362" spans="1:7" s="2780" customFormat="1">
      <c r="A362" s="2945" t="s">
        <v>3166</v>
      </c>
      <c r="B362" s="2945" t="s">
        <v>3170</v>
      </c>
      <c r="C362" s="2945">
        <v>2650</v>
      </c>
      <c r="D362" s="2945">
        <v>2610</v>
      </c>
      <c r="E362" s="2945">
        <v>2570</v>
      </c>
      <c r="F362" s="2945">
        <v>630</v>
      </c>
      <c r="G362" s="2958">
        <v>1570</v>
      </c>
    </row>
    <row r="363" spans="1:7" s="2780" customFormat="1">
      <c r="A363" s="2945" t="s">
        <v>3166</v>
      </c>
      <c r="B363" s="2945" t="s">
        <v>2891</v>
      </c>
      <c r="C363" s="2945">
        <v>2390</v>
      </c>
      <c r="D363" s="2945">
        <v>2360</v>
      </c>
      <c r="E363" s="2945">
        <v>2320</v>
      </c>
      <c r="F363" s="2945">
        <v>600</v>
      </c>
      <c r="G363" s="2958">
        <v>1420</v>
      </c>
    </row>
    <row r="364" spans="1:7" s="2780" customFormat="1">
      <c r="A364" s="2945" t="s">
        <v>3166</v>
      </c>
      <c r="B364" s="2945" t="s">
        <v>3171</v>
      </c>
      <c r="C364" s="2945">
        <v>2050</v>
      </c>
      <c r="D364" s="2945">
        <v>2030</v>
      </c>
      <c r="E364" s="2945">
        <v>1990</v>
      </c>
      <c r="F364" s="2945">
        <v>550</v>
      </c>
      <c r="G364" s="2958">
        <v>1220</v>
      </c>
    </row>
    <row r="365" spans="1:7" s="2780" customFormat="1">
      <c r="A365" s="2945" t="s">
        <v>3166</v>
      </c>
      <c r="B365" s="2945" t="s">
        <v>200</v>
      </c>
      <c r="C365" s="2945">
        <v>2140</v>
      </c>
      <c r="D365" s="2945">
        <v>2100</v>
      </c>
      <c r="E365" s="2945">
        <v>2060</v>
      </c>
      <c r="F365" s="2945">
        <v>540</v>
      </c>
      <c r="G365" s="2958">
        <v>1270</v>
      </c>
    </row>
    <row r="366" spans="1:7" s="2780" customFormat="1">
      <c r="A366" s="2945" t="s">
        <v>3166</v>
      </c>
      <c r="B366" s="2945" t="s">
        <v>2898</v>
      </c>
      <c r="C366" s="2945">
        <v>2410</v>
      </c>
      <c r="D366" s="2945">
        <v>2370</v>
      </c>
      <c r="E366" s="2945">
        <v>2330</v>
      </c>
      <c r="F366" s="2945">
        <v>570</v>
      </c>
      <c r="G366" s="2958">
        <v>1440</v>
      </c>
    </row>
    <row r="367" spans="1:7" s="2780" customFormat="1">
      <c r="A367" s="2945" t="s">
        <v>3166</v>
      </c>
      <c r="B367" s="2945" t="s">
        <v>3172</v>
      </c>
      <c r="C367" s="2945">
        <v>2300</v>
      </c>
      <c r="D367" s="2945">
        <v>2260</v>
      </c>
      <c r="E367" s="2945">
        <v>2220</v>
      </c>
      <c r="F367" s="2945">
        <v>560</v>
      </c>
      <c r="G367" s="2958">
        <v>1370</v>
      </c>
    </row>
    <row r="368" spans="1:7" s="2780" customFormat="1">
      <c r="A368" s="2945" t="s">
        <v>3166</v>
      </c>
      <c r="B368" s="2945" t="s">
        <v>3173</v>
      </c>
      <c r="C368" s="2945">
        <v>2430</v>
      </c>
      <c r="D368" s="2945">
        <v>2390</v>
      </c>
      <c r="E368" s="2945">
        <v>2350</v>
      </c>
      <c r="F368" s="2945">
        <v>570</v>
      </c>
      <c r="G368" s="2958">
        <v>1450</v>
      </c>
    </row>
    <row r="369" spans="1:7" s="2780" customFormat="1">
      <c r="A369" s="2945" t="s">
        <v>3166</v>
      </c>
      <c r="B369" s="2945" t="s">
        <v>214</v>
      </c>
      <c r="C369" s="2945">
        <v>2320</v>
      </c>
      <c r="D369" s="2945">
        <v>2290</v>
      </c>
      <c r="E369" s="2945">
        <v>2250</v>
      </c>
      <c r="F369" s="2945">
        <v>550</v>
      </c>
      <c r="G369" s="2958">
        <v>1380</v>
      </c>
    </row>
    <row r="370" spans="1:7" s="2780" customFormat="1">
      <c r="A370" s="2945" t="s">
        <v>3166</v>
      </c>
      <c r="B370" s="2945" t="s">
        <v>221</v>
      </c>
      <c r="C370" s="2945">
        <v>2190</v>
      </c>
      <c r="D370" s="2945">
        <v>2170</v>
      </c>
      <c r="E370" s="2945">
        <v>2130</v>
      </c>
      <c r="F370" s="2945">
        <v>530</v>
      </c>
      <c r="G370" s="2958">
        <v>1310</v>
      </c>
    </row>
    <row r="371" spans="1:7" s="2780" customFormat="1">
      <c r="A371" s="2945" t="s">
        <v>3166</v>
      </c>
      <c r="B371" s="2945" t="s">
        <v>229</v>
      </c>
      <c r="C371" s="2945">
        <v>2460</v>
      </c>
      <c r="D371" s="2945">
        <v>2420</v>
      </c>
      <c r="E371" s="2945">
        <v>2370</v>
      </c>
      <c r="F371" s="2945">
        <v>560</v>
      </c>
      <c r="G371" s="2958">
        <v>1470</v>
      </c>
    </row>
    <row r="372" spans="1:7" s="2780" customFormat="1">
      <c r="A372" s="2945" t="s">
        <v>3166</v>
      </c>
      <c r="B372" s="2945" t="s">
        <v>3174</v>
      </c>
      <c r="C372" s="2945">
        <v>2250</v>
      </c>
      <c r="D372" s="2945">
        <v>2210</v>
      </c>
      <c r="E372" s="2945">
        <v>2180</v>
      </c>
      <c r="F372" s="2945">
        <v>550</v>
      </c>
      <c r="G372" s="2958">
        <v>1340</v>
      </c>
    </row>
    <row r="373" spans="1:7" s="2780" customFormat="1">
      <c r="A373" s="2945" t="s">
        <v>3166</v>
      </c>
      <c r="B373" s="2945" t="s">
        <v>258</v>
      </c>
      <c r="C373" s="2945">
        <v>2210</v>
      </c>
      <c r="D373" s="2945">
        <v>2190</v>
      </c>
      <c r="E373" s="2945">
        <v>2150</v>
      </c>
      <c r="F373" s="2945">
        <v>530</v>
      </c>
      <c r="G373" s="2958">
        <v>1320</v>
      </c>
    </row>
    <row r="374" spans="1:7" s="2780" customFormat="1">
      <c r="A374" s="2945" t="s">
        <v>3166</v>
      </c>
      <c r="B374" s="2945" t="s">
        <v>266</v>
      </c>
      <c r="C374" s="2945">
        <v>2320</v>
      </c>
      <c r="D374" s="2945">
        <v>2280</v>
      </c>
      <c r="E374" s="2945">
        <v>2230</v>
      </c>
      <c r="F374" s="2945">
        <v>580</v>
      </c>
      <c r="G374" s="2958">
        <v>1380</v>
      </c>
    </row>
    <row r="375" spans="1:7" s="2780" customFormat="1">
      <c r="A375" s="2945" t="s">
        <v>3166</v>
      </c>
      <c r="B375" s="2945" t="s">
        <v>3175</v>
      </c>
      <c r="C375" s="2945">
        <v>2090</v>
      </c>
      <c r="D375" s="2945">
        <v>2050</v>
      </c>
      <c r="E375" s="2945">
        <v>2020</v>
      </c>
      <c r="F375" s="2945">
        <v>520</v>
      </c>
      <c r="G375" s="2958">
        <v>1240</v>
      </c>
    </row>
    <row r="376" spans="1:7" s="2780" customFormat="1">
      <c r="A376" s="2945" t="s">
        <v>3166</v>
      </c>
      <c r="B376" s="2945" t="s">
        <v>277</v>
      </c>
      <c r="C376" s="2945">
        <v>2010</v>
      </c>
      <c r="D376" s="2945">
        <v>1980</v>
      </c>
      <c r="E376" s="2945">
        <v>1940</v>
      </c>
      <c r="F376" s="2945">
        <v>540</v>
      </c>
      <c r="G376" s="2958">
        <v>1190</v>
      </c>
    </row>
    <row r="377" spans="1:7" s="2780" customFormat="1" ht="12" thickBot="1">
      <c r="A377" s="2953" t="s">
        <v>3166</v>
      </c>
      <c r="B377" s="2956" t="s">
        <v>2928</v>
      </c>
      <c r="C377" s="2956">
        <v>1930</v>
      </c>
      <c r="D377" s="2956">
        <v>1890</v>
      </c>
      <c r="E377" s="2956">
        <v>1860</v>
      </c>
      <c r="F377" s="2956">
        <v>530</v>
      </c>
      <c r="G377" s="2961">
        <v>1150</v>
      </c>
    </row>
    <row r="378" spans="1:7" s="2780" customFormat="1">
      <c r="A378" s="2962" t="s">
        <v>3176</v>
      </c>
      <c r="B378" s="2941" t="s">
        <v>3177</v>
      </c>
      <c r="C378" s="2941">
        <v>1520</v>
      </c>
      <c r="D378" s="2941">
        <v>1490</v>
      </c>
      <c r="E378" s="2941">
        <v>1460</v>
      </c>
      <c r="F378" s="2941">
        <v>460</v>
      </c>
      <c r="G378" s="2957">
        <v>940</v>
      </c>
    </row>
    <row r="379" spans="1:7" s="2780" customFormat="1">
      <c r="A379" s="2963" t="s">
        <v>3176</v>
      </c>
      <c r="B379" s="2945" t="s">
        <v>3178</v>
      </c>
      <c r="C379" s="2945">
        <v>1500</v>
      </c>
      <c r="D379" s="2945">
        <v>1470</v>
      </c>
      <c r="E379" s="2945">
        <v>1430</v>
      </c>
      <c r="F379" s="2945">
        <v>460</v>
      </c>
      <c r="G379" s="2958">
        <v>920</v>
      </c>
    </row>
    <row r="380" spans="1:7" s="2780" customFormat="1">
      <c r="A380" s="2963" t="s">
        <v>3176</v>
      </c>
      <c r="B380" s="2945" t="s">
        <v>3179</v>
      </c>
      <c r="C380" s="2945">
        <v>1620</v>
      </c>
      <c r="D380" s="2945">
        <v>1590</v>
      </c>
      <c r="E380" s="2945">
        <v>1560</v>
      </c>
      <c r="F380" s="2945">
        <v>480</v>
      </c>
      <c r="G380" s="2958">
        <v>1000</v>
      </c>
    </row>
    <row r="381" spans="1:7" s="2780" customFormat="1">
      <c r="A381" s="2963" t="s">
        <v>3176</v>
      </c>
      <c r="B381" s="2945" t="s">
        <v>3180</v>
      </c>
      <c r="C381" s="2945">
        <v>1460</v>
      </c>
      <c r="D381" s="2945">
        <v>1430</v>
      </c>
      <c r="E381" s="2945">
        <v>1390</v>
      </c>
      <c r="F381" s="2945">
        <v>450</v>
      </c>
      <c r="G381" s="2958">
        <v>900</v>
      </c>
    </row>
    <row r="382" spans="1:7" s="2780" customFormat="1">
      <c r="A382" s="2963" t="s">
        <v>3176</v>
      </c>
      <c r="B382" s="2945" t="s">
        <v>3181</v>
      </c>
      <c r="C382" s="2945">
        <v>1310</v>
      </c>
      <c r="D382" s="2945">
        <v>1280</v>
      </c>
      <c r="E382" s="2945">
        <v>1250</v>
      </c>
      <c r="F382" s="2945">
        <v>440</v>
      </c>
      <c r="G382" s="2958">
        <v>800</v>
      </c>
    </row>
    <row r="383" spans="1:7" s="2780" customFormat="1">
      <c r="A383" s="2963" t="s">
        <v>3176</v>
      </c>
      <c r="B383" s="2945" t="s">
        <v>3182</v>
      </c>
      <c r="C383" s="2945">
        <v>1260</v>
      </c>
      <c r="D383" s="2945">
        <v>1230</v>
      </c>
      <c r="E383" s="2945">
        <v>1200</v>
      </c>
      <c r="F383" s="2945">
        <v>420</v>
      </c>
      <c r="G383" s="2958">
        <v>770</v>
      </c>
    </row>
    <row r="384" spans="1:7" s="2780" customFormat="1" ht="12" thickBot="1">
      <c r="A384" s="2964" t="s">
        <v>3176</v>
      </c>
      <c r="B384" s="2952" t="s">
        <v>3183</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5" customWidth="1"/>
    <col min="2" max="2" width="20" style="2965" customWidth="1"/>
    <col min="3" max="7" width="8.875" style="2965"/>
    <col min="8" max="16384" width="8.875" style="2811"/>
  </cols>
  <sheetData>
    <row r="1" spans="1:7">
      <c r="A1" s="3495" t="s">
        <v>3184</v>
      </c>
      <c r="B1" s="3495"/>
    </row>
    <row r="2" spans="1:7" ht="14.25" thickBot="1">
      <c r="A2" s="2966"/>
      <c r="B2" s="2966"/>
    </row>
    <row r="3" spans="1:7" ht="14.25" thickBot="1">
      <c r="A3" s="2966"/>
      <c r="B3" s="2966"/>
      <c r="C3" s="2967" t="s">
        <v>2814</v>
      </c>
      <c r="D3" s="2967" t="s">
        <v>2870</v>
      </c>
      <c r="E3" s="2967" t="s">
        <v>2816</v>
      </c>
      <c r="F3" s="2967" t="s">
        <v>2871</v>
      </c>
      <c r="G3" s="2967" t="s">
        <v>2634</v>
      </c>
    </row>
    <row r="4" spans="1:7" ht="14.25" thickBot="1">
      <c r="A4" s="2968" t="s">
        <v>2869</v>
      </c>
      <c r="B4" s="2969" t="s">
        <v>2875</v>
      </c>
      <c r="C4" s="2967"/>
      <c r="D4" s="2967"/>
      <c r="E4" s="2967"/>
      <c r="F4" s="2967"/>
      <c r="G4" s="2967"/>
    </row>
    <row r="5" spans="1:7">
      <c r="A5" s="2970" t="s">
        <v>2843</v>
      </c>
      <c r="B5" s="2971" t="s">
        <v>2857</v>
      </c>
      <c r="C5" s="2972">
        <v>9.8000000000000004E-2</v>
      </c>
      <c r="D5" s="2972">
        <v>8.6999999999999994E-2</v>
      </c>
      <c r="E5" s="2972">
        <v>8.6999999999999994E-2</v>
      </c>
      <c r="F5" s="2972">
        <v>9.8000000000000004E-2</v>
      </c>
      <c r="G5" s="2973">
        <v>9.5000000000000001E-2</v>
      </c>
    </row>
    <row r="6" spans="1:7">
      <c r="A6" s="2974" t="s">
        <v>144</v>
      </c>
      <c r="B6" s="2975" t="s">
        <v>2872</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4.25" thickBot="1">
      <c r="A9" s="2978" t="s">
        <v>144</v>
      </c>
      <c r="B9" s="2979" t="s">
        <v>154</v>
      </c>
      <c r="C9" s="2980">
        <v>0.1</v>
      </c>
      <c r="D9" s="2980">
        <v>0.1</v>
      </c>
      <c r="E9" s="2980">
        <v>0.1</v>
      </c>
      <c r="F9" s="2981"/>
      <c r="G9" s="2982">
        <v>0.1</v>
      </c>
    </row>
    <row r="10" spans="1:7">
      <c r="A10" s="2970" t="s">
        <v>184</v>
      </c>
      <c r="B10" s="2971" t="s">
        <v>2858</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2908</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4.25" thickBot="1">
      <c r="A29" s="2978" t="s">
        <v>184</v>
      </c>
      <c r="B29" s="2979" t="s">
        <v>2926</v>
      </c>
      <c r="C29" s="2984"/>
      <c r="D29" s="2980">
        <v>5.1999999999999998E-2</v>
      </c>
      <c r="E29" s="2980">
        <v>7.0000000000000007E-2</v>
      </c>
      <c r="F29" s="2984"/>
      <c r="G29" s="2982">
        <v>7.0999999999999994E-2</v>
      </c>
    </row>
    <row r="30" spans="1:7">
      <c r="A30" s="2985" t="s">
        <v>296</v>
      </c>
      <c r="B30" s="2971" t="s">
        <v>2859</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2845</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2929</v>
      </c>
      <c r="C50" s="2976">
        <v>9.8000000000000004E-2</v>
      </c>
      <c r="D50" s="2976">
        <v>7.2999999999999995E-2</v>
      </c>
      <c r="E50" s="2976">
        <v>7.0999999999999994E-2</v>
      </c>
      <c r="F50" s="2987"/>
      <c r="G50" s="2977">
        <v>7.2999999999999995E-2</v>
      </c>
    </row>
    <row r="51" spans="1:7">
      <c r="A51" s="2986" t="s">
        <v>296</v>
      </c>
      <c r="B51" s="2975" t="s">
        <v>2931</v>
      </c>
      <c r="C51" s="2976">
        <v>9.9000000000000005E-2</v>
      </c>
      <c r="D51" s="2976">
        <v>8.5000000000000006E-2</v>
      </c>
      <c r="E51" s="2976">
        <v>6.3E-2</v>
      </c>
      <c r="F51" s="2987"/>
      <c r="G51" s="2977">
        <v>9.6000000000000002E-2</v>
      </c>
    </row>
    <row r="52" spans="1:7">
      <c r="A52" s="2986" t="s">
        <v>296</v>
      </c>
      <c r="B52" s="2975" t="s">
        <v>2935</v>
      </c>
      <c r="C52" s="2976">
        <v>7.3999999999999996E-2</v>
      </c>
      <c r="D52" s="2976">
        <v>9.6000000000000002E-2</v>
      </c>
      <c r="E52" s="2976">
        <v>0.05</v>
      </c>
      <c r="F52" s="2987"/>
      <c r="G52" s="2977">
        <v>9.8000000000000004E-2</v>
      </c>
    </row>
    <row r="53" spans="1:7">
      <c r="A53" s="2986" t="s">
        <v>296</v>
      </c>
      <c r="B53" s="2975" t="s">
        <v>2940</v>
      </c>
      <c r="C53" s="2976">
        <v>8.5999999999999993E-2</v>
      </c>
      <c r="D53" s="2987"/>
      <c r="E53" s="2976">
        <v>9.1999999999999998E-2</v>
      </c>
      <c r="F53" s="2987"/>
      <c r="G53" s="2988"/>
    </row>
    <row r="54" spans="1:7" ht="14.25" thickBot="1">
      <c r="A54" s="2989" t="s">
        <v>296</v>
      </c>
      <c r="B54" s="2979" t="s">
        <v>2943</v>
      </c>
      <c r="C54" s="2980">
        <v>9.6000000000000002E-2</v>
      </c>
      <c r="D54" s="2981"/>
      <c r="E54" s="2990"/>
      <c r="F54" s="2981"/>
      <c r="G54" s="2991"/>
    </row>
    <row r="55" spans="1:7">
      <c r="A55" s="2985" t="s">
        <v>110</v>
      </c>
      <c r="B55" s="2971" t="s">
        <v>2860</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2941</v>
      </c>
      <c r="C78" s="2976">
        <v>0.1</v>
      </c>
      <c r="D78" s="2976">
        <v>8.5000000000000006E-2</v>
      </c>
      <c r="E78" s="2976">
        <v>9.6000000000000002E-2</v>
      </c>
      <c r="F78" s="2987"/>
      <c r="G78" s="2977">
        <v>9.6000000000000002E-2</v>
      </c>
    </row>
    <row r="79" spans="1:7">
      <c r="A79" s="2986" t="s">
        <v>110</v>
      </c>
      <c r="B79" s="2975" t="s">
        <v>2944</v>
      </c>
      <c r="C79" s="2976">
        <v>0.05</v>
      </c>
      <c r="D79" s="2976">
        <v>9.6000000000000002E-2</v>
      </c>
      <c r="E79" s="2976">
        <v>9.5000000000000001E-2</v>
      </c>
      <c r="F79" s="2987"/>
      <c r="G79" s="2977">
        <v>9.8000000000000004E-2</v>
      </c>
    </row>
    <row r="80" spans="1:7">
      <c r="A80" s="2986" t="s">
        <v>110</v>
      </c>
      <c r="B80" s="2975" t="s">
        <v>2948</v>
      </c>
      <c r="C80" s="2976">
        <v>8.5999999999999993E-2</v>
      </c>
      <c r="D80" s="2992"/>
      <c r="E80" s="2976">
        <v>0.1</v>
      </c>
      <c r="F80" s="2987"/>
      <c r="G80" s="2988"/>
    </row>
    <row r="81" spans="1:7">
      <c r="A81" s="2986" t="s">
        <v>110</v>
      </c>
      <c r="B81" s="2975" t="s">
        <v>2953</v>
      </c>
      <c r="C81" s="2976">
        <v>9.6000000000000002E-2</v>
      </c>
      <c r="D81" s="2987"/>
      <c r="E81" s="2976">
        <v>9.8000000000000004E-2</v>
      </c>
      <c r="F81" s="2987"/>
      <c r="G81" s="2988"/>
    </row>
    <row r="82" spans="1:7">
      <c r="A82" s="2986" t="s">
        <v>110</v>
      </c>
      <c r="B82" s="2975" t="s">
        <v>2960</v>
      </c>
      <c r="C82" s="2992"/>
      <c r="D82" s="2987"/>
      <c r="E82" s="2976">
        <v>7.6999999999999999E-2</v>
      </c>
      <c r="F82" s="2987"/>
      <c r="G82" s="2988"/>
    </row>
    <row r="83" spans="1:7">
      <c r="A83" s="2986" t="s">
        <v>110</v>
      </c>
      <c r="B83" s="2975" t="s">
        <v>2966</v>
      </c>
      <c r="C83" s="2987"/>
      <c r="D83" s="2987"/>
      <c r="E83" s="2987"/>
      <c r="F83" s="2976">
        <v>0.1</v>
      </c>
      <c r="G83" s="2993"/>
    </row>
    <row r="84" spans="1:7">
      <c r="A84" s="2986" t="s">
        <v>110</v>
      </c>
      <c r="B84" s="2975" t="s">
        <v>2973</v>
      </c>
      <c r="C84" s="2987"/>
      <c r="D84" s="2987"/>
      <c r="E84" s="2987"/>
      <c r="F84" s="2976">
        <v>0.1</v>
      </c>
      <c r="G84" s="2993"/>
    </row>
    <row r="85" spans="1:7">
      <c r="A85" s="2986" t="s">
        <v>110</v>
      </c>
      <c r="B85" s="2975" t="s">
        <v>2980</v>
      </c>
      <c r="C85" s="2987"/>
      <c r="D85" s="2987"/>
      <c r="E85" s="2987"/>
      <c r="F85" s="2976">
        <v>0.1</v>
      </c>
      <c r="G85" s="2993"/>
    </row>
    <row r="86" spans="1:7" ht="14.25" thickBot="1">
      <c r="A86" s="2989" t="s">
        <v>110</v>
      </c>
      <c r="B86" s="2979" t="s">
        <v>2985</v>
      </c>
      <c r="C86" s="2980">
        <v>9.8000000000000004E-2</v>
      </c>
      <c r="D86" s="2980">
        <v>9.8000000000000004E-2</v>
      </c>
      <c r="E86" s="2980">
        <v>9.6000000000000002E-2</v>
      </c>
      <c r="F86" s="2990"/>
      <c r="G86" s="2982">
        <v>0.1</v>
      </c>
    </row>
    <row r="87" spans="1:7">
      <c r="A87" s="2985" t="s">
        <v>303</v>
      </c>
      <c r="B87" s="2971" t="s">
        <v>2861</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2954</v>
      </c>
      <c r="C113" s="2976">
        <v>0.1</v>
      </c>
      <c r="D113" s="2976">
        <v>0.1</v>
      </c>
      <c r="E113" s="2987"/>
      <c r="F113" s="2987"/>
      <c r="G113" s="2977">
        <v>0.1</v>
      </c>
    </row>
    <row r="114" spans="1:7">
      <c r="A114" s="2986" t="s">
        <v>303</v>
      </c>
      <c r="B114" s="2975" t="s">
        <v>2961</v>
      </c>
      <c r="C114" s="2976">
        <v>9.7000000000000003E-2</v>
      </c>
      <c r="D114" s="2976">
        <v>9.7000000000000003E-2</v>
      </c>
      <c r="E114" s="2987"/>
      <c r="F114" s="2987"/>
      <c r="G114" s="2977">
        <v>9.9000000000000005E-2</v>
      </c>
    </row>
    <row r="115" spans="1:7">
      <c r="A115" s="2986" t="s">
        <v>303</v>
      </c>
      <c r="B115" s="2975" t="s">
        <v>2967</v>
      </c>
      <c r="C115" s="2976">
        <v>0.1</v>
      </c>
      <c r="D115" s="2976">
        <v>0.1</v>
      </c>
      <c r="E115" s="2987"/>
      <c r="F115" s="2987"/>
      <c r="G115" s="2977">
        <v>0.1</v>
      </c>
    </row>
    <row r="116" spans="1:7">
      <c r="A116" s="2986" t="s">
        <v>303</v>
      </c>
      <c r="B116" s="2975" t="s">
        <v>2974</v>
      </c>
      <c r="C116" s="2976">
        <v>0.1</v>
      </c>
      <c r="D116" s="2976">
        <v>0.1</v>
      </c>
      <c r="E116" s="2987"/>
      <c r="F116" s="2987"/>
      <c r="G116" s="2977">
        <v>0.1</v>
      </c>
    </row>
    <row r="117" spans="1:7">
      <c r="A117" s="2986" t="s">
        <v>303</v>
      </c>
      <c r="B117" s="2975" t="s">
        <v>2981</v>
      </c>
      <c r="C117" s="2976">
        <v>9.7000000000000003E-2</v>
      </c>
      <c r="D117" s="2976">
        <v>9.7000000000000003E-2</v>
      </c>
      <c r="E117" s="2987"/>
      <c r="F117" s="2987"/>
      <c r="G117" s="2977">
        <v>9.7000000000000003E-2</v>
      </c>
    </row>
    <row r="118" spans="1:7">
      <c r="A118" s="2986" t="s">
        <v>303</v>
      </c>
      <c r="B118" s="2975" t="s">
        <v>2986</v>
      </c>
      <c r="C118" s="2976">
        <v>0.1</v>
      </c>
      <c r="D118" s="2976">
        <v>0.1</v>
      </c>
      <c r="E118" s="2987"/>
      <c r="F118" s="2987"/>
      <c r="G118" s="2977">
        <v>0.1</v>
      </c>
    </row>
    <row r="119" spans="1:7">
      <c r="A119" s="2986" t="s">
        <v>303</v>
      </c>
      <c r="B119" s="2975" t="s">
        <v>2990</v>
      </c>
      <c r="C119" s="2976">
        <v>5.0999999999999997E-2</v>
      </c>
      <c r="D119" s="2976">
        <v>5.1999999999999998E-2</v>
      </c>
      <c r="E119" s="2987"/>
      <c r="F119" s="2992"/>
      <c r="G119" s="2977">
        <v>0.06</v>
      </c>
    </row>
    <row r="120" spans="1:7">
      <c r="A120" s="2986" t="s">
        <v>303</v>
      </c>
      <c r="B120" s="2975" t="s">
        <v>2994</v>
      </c>
      <c r="C120" s="2987"/>
      <c r="D120" s="2987"/>
      <c r="E120" s="2987"/>
      <c r="F120" s="2976">
        <v>0.1</v>
      </c>
      <c r="G120" s="2993"/>
    </row>
    <row r="121" spans="1:7">
      <c r="A121" s="2986" t="s">
        <v>303</v>
      </c>
      <c r="B121" s="2975" t="s">
        <v>2999</v>
      </c>
      <c r="C121" s="2987"/>
      <c r="D121" s="2987"/>
      <c r="E121" s="2987"/>
      <c r="F121" s="2976">
        <v>0.1</v>
      </c>
      <c r="G121" s="2993"/>
    </row>
    <row r="122" spans="1:7">
      <c r="A122" s="2986" t="s">
        <v>303</v>
      </c>
      <c r="B122" s="2975" t="s">
        <v>3004</v>
      </c>
      <c r="C122" s="2976">
        <v>0.1</v>
      </c>
      <c r="D122" s="2976">
        <v>0.1</v>
      </c>
      <c r="E122" s="2976">
        <v>9.8000000000000004E-2</v>
      </c>
      <c r="F122" s="2976">
        <v>0.1</v>
      </c>
      <c r="G122" s="2977">
        <v>0.1</v>
      </c>
    </row>
    <row r="123" spans="1:7">
      <c r="A123" s="2986" t="s">
        <v>303</v>
      </c>
      <c r="B123" s="2975" t="s">
        <v>3009</v>
      </c>
      <c r="C123" s="2976">
        <v>0.1</v>
      </c>
      <c r="D123" s="2976">
        <v>0.1</v>
      </c>
      <c r="E123" s="2976">
        <v>9.8000000000000004E-2</v>
      </c>
      <c r="F123" s="2976">
        <v>0.1</v>
      </c>
      <c r="G123" s="2977">
        <v>0.1</v>
      </c>
    </row>
    <row r="124" spans="1:7">
      <c r="A124" s="2986" t="s">
        <v>303</v>
      </c>
      <c r="B124" s="2975" t="s">
        <v>3014</v>
      </c>
      <c r="C124" s="2976">
        <v>0.1</v>
      </c>
      <c r="D124" s="2976">
        <v>0.1</v>
      </c>
      <c r="E124" s="2976">
        <v>9.8000000000000004E-2</v>
      </c>
      <c r="F124" s="2992"/>
      <c r="G124" s="2977">
        <v>0.1</v>
      </c>
    </row>
    <row r="125" spans="1:7">
      <c r="A125" s="2986" t="s">
        <v>303</v>
      </c>
      <c r="B125" s="2975" t="s">
        <v>3019</v>
      </c>
      <c r="C125" s="2976">
        <v>9.8000000000000004E-2</v>
      </c>
      <c r="D125" s="2976">
        <v>9.8000000000000004E-2</v>
      </c>
      <c r="E125" s="2976">
        <v>9.6000000000000002E-2</v>
      </c>
      <c r="F125" s="2992"/>
      <c r="G125" s="2977">
        <v>0.1</v>
      </c>
    </row>
    <row r="126" spans="1:7" ht="14.25" thickBot="1">
      <c r="A126" s="2989" t="s">
        <v>303</v>
      </c>
      <c r="B126" s="2979" t="s">
        <v>3185</v>
      </c>
      <c r="C126" s="2980">
        <v>0.1</v>
      </c>
      <c r="D126" s="2980">
        <v>0.1</v>
      </c>
      <c r="E126" s="2980">
        <v>9.8000000000000004E-2</v>
      </c>
      <c r="F126" s="2980">
        <v>0.1</v>
      </c>
      <c r="G126" s="2982">
        <v>0.1</v>
      </c>
    </row>
    <row r="127" spans="1:7">
      <c r="A127" s="2985" t="s">
        <v>29</v>
      </c>
      <c r="B127" s="2971" t="s">
        <v>2862</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2932</v>
      </c>
      <c r="C148" s="2976">
        <v>0.13</v>
      </c>
      <c r="D148" s="2976">
        <v>0.13</v>
      </c>
      <c r="E148" s="2976">
        <v>0.13</v>
      </c>
      <c r="F148" s="2987"/>
      <c r="G148" s="2977">
        <v>0.13</v>
      </c>
    </row>
    <row r="149" spans="1:7">
      <c r="A149" s="2986" t="s">
        <v>29</v>
      </c>
      <c r="B149" s="2975" t="s">
        <v>2936</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2955</v>
      </c>
      <c r="C153" s="2976">
        <v>0.13</v>
      </c>
      <c r="D153" s="2976">
        <v>0.13</v>
      </c>
      <c r="E153" s="2976">
        <v>0.13</v>
      </c>
      <c r="F153" s="2976">
        <v>0.13</v>
      </c>
      <c r="G153" s="2977">
        <v>0.13</v>
      </c>
    </row>
    <row r="154" spans="1:7">
      <c r="A154" s="2986" t="s">
        <v>29</v>
      </c>
      <c r="B154" s="2975" t="s">
        <v>2962</v>
      </c>
      <c r="C154" s="2976">
        <v>0.121</v>
      </c>
      <c r="D154" s="2976">
        <v>0.121</v>
      </c>
      <c r="E154" s="2976">
        <v>0.105</v>
      </c>
      <c r="F154" s="2976">
        <v>0.121</v>
      </c>
      <c r="G154" s="2977">
        <v>0.123</v>
      </c>
    </row>
    <row r="155" spans="1:7">
      <c r="A155" s="2986" t="s">
        <v>29</v>
      </c>
      <c r="B155" s="2975" t="s">
        <v>2968</v>
      </c>
      <c r="C155" s="2976">
        <v>0.1</v>
      </c>
      <c r="D155" s="2976">
        <v>0.1</v>
      </c>
      <c r="E155" s="2976">
        <v>0.1</v>
      </c>
      <c r="F155" s="2976">
        <v>0.1</v>
      </c>
      <c r="G155" s="2977">
        <v>0.1</v>
      </c>
    </row>
    <row r="156" spans="1:7">
      <c r="A156" s="2986" t="s">
        <v>29</v>
      </c>
      <c r="B156" s="2975" t="s">
        <v>2975</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2995</v>
      </c>
      <c r="C160" s="2976">
        <v>0.13</v>
      </c>
      <c r="D160" s="2976">
        <v>0.13</v>
      </c>
      <c r="E160" s="2976">
        <v>0.124</v>
      </c>
      <c r="F160" s="2976">
        <v>0.126</v>
      </c>
      <c r="G160" s="2977">
        <v>0.13</v>
      </c>
    </row>
    <row r="161" spans="1:7">
      <c r="A161" s="2986" t="s">
        <v>29</v>
      </c>
      <c r="B161" s="2975" t="s">
        <v>3000</v>
      </c>
      <c r="C161" s="2976">
        <v>0.13</v>
      </c>
      <c r="D161" s="2976">
        <v>0.13</v>
      </c>
      <c r="E161" s="2976">
        <v>0.124</v>
      </c>
      <c r="F161" s="2976">
        <v>0.127</v>
      </c>
      <c r="G161" s="2977">
        <v>0.13</v>
      </c>
    </row>
    <row r="162" spans="1:7">
      <c r="A162" s="2986" t="s">
        <v>29</v>
      </c>
      <c r="B162" s="2975" t="s">
        <v>3005</v>
      </c>
      <c r="C162" s="2976">
        <v>0.1</v>
      </c>
      <c r="D162" s="2976">
        <v>0.1</v>
      </c>
      <c r="E162" s="2976">
        <v>0.1</v>
      </c>
      <c r="F162" s="2976">
        <v>0.121</v>
      </c>
      <c r="G162" s="2977">
        <v>0.105</v>
      </c>
    </row>
    <row r="163" spans="1:7">
      <c r="A163" s="2986" t="s">
        <v>29</v>
      </c>
      <c r="B163" s="2975" t="s">
        <v>3010</v>
      </c>
      <c r="C163" s="2976">
        <v>0.1</v>
      </c>
      <c r="D163" s="2976">
        <v>0.1</v>
      </c>
      <c r="E163" s="2976">
        <v>0.1</v>
      </c>
      <c r="F163" s="2976">
        <v>0.1</v>
      </c>
      <c r="G163" s="2977">
        <v>0.1</v>
      </c>
    </row>
    <row r="164" spans="1:7">
      <c r="A164" s="2986" t="s">
        <v>29</v>
      </c>
      <c r="B164" s="2975" t="s">
        <v>3015</v>
      </c>
      <c r="C164" s="2992"/>
      <c r="D164" s="2992"/>
      <c r="E164" s="2992"/>
      <c r="F164" s="2976">
        <v>0.1</v>
      </c>
      <c r="G164" s="2988"/>
    </row>
    <row r="165" spans="1:7">
      <c r="A165" s="2986" t="s">
        <v>29</v>
      </c>
      <c r="B165" s="2975" t="s">
        <v>3186</v>
      </c>
      <c r="C165" s="2976">
        <v>0.126</v>
      </c>
      <c r="D165" s="2976">
        <v>0.126</v>
      </c>
      <c r="E165" s="2976">
        <v>0.11899999999999999</v>
      </c>
      <c r="F165" s="2976">
        <v>0.13</v>
      </c>
      <c r="G165" s="2977">
        <v>0.128</v>
      </c>
    </row>
    <row r="166" spans="1:7">
      <c r="A166" s="2986" t="s">
        <v>29</v>
      </c>
      <c r="B166" s="2975" t="s">
        <v>3025</v>
      </c>
      <c r="C166" s="2976">
        <v>0.129</v>
      </c>
      <c r="D166" s="2976">
        <v>0.129</v>
      </c>
      <c r="E166" s="2976">
        <v>0.123</v>
      </c>
      <c r="F166" s="2976">
        <v>0.128</v>
      </c>
      <c r="G166" s="2977">
        <v>0.13</v>
      </c>
    </row>
    <row r="167" spans="1:7">
      <c r="A167" s="2986" t="s">
        <v>29</v>
      </c>
      <c r="B167" s="2975" t="s">
        <v>3029</v>
      </c>
      <c r="C167" s="2976">
        <v>0.125</v>
      </c>
      <c r="D167" s="2976">
        <v>0.125</v>
      </c>
      <c r="E167" s="2976">
        <v>0.11700000000000001</v>
      </c>
      <c r="F167" s="2976">
        <v>0.13</v>
      </c>
      <c r="G167" s="2977">
        <v>0.126</v>
      </c>
    </row>
    <row r="168" spans="1:7">
      <c r="A168" s="2986" t="s">
        <v>29</v>
      </c>
      <c r="B168" s="2975" t="s">
        <v>3034</v>
      </c>
      <c r="C168" s="2976">
        <v>0.128</v>
      </c>
      <c r="D168" s="2976">
        <v>0.128</v>
      </c>
      <c r="E168" s="2976">
        <v>0.123</v>
      </c>
      <c r="F168" s="2987"/>
      <c r="G168" s="2977">
        <v>0.13</v>
      </c>
    </row>
    <row r="169" spans="1:7">
      <c r="A169" s="2986" t="s">
        <v>29</v>
      </c>
      <c r="B169" s="2975" t="s">
        <v>3187</v>
      </c>
      <c r="C169" s="2992"/>
      <c r="D169" s="2992"/>
      <c r="E169" s="2992"/>
      <c r="F169" s="2976">
        <v>0.05</v>
      </c>
      <c r="G169" s="2988"/>
    </row>
    <row r="170" spans="1:7">
      <c r="A170" s="2986" t="s">
        <v>29</v>
      </c>
      <c r="B170" s="2975" t="s">
        <v>3188</v>
      </c>
      <c r="C170" s="2992"/>
      <c r="D170" s="2992"/>
      <c r="E170" s="2992"/>
      <c r="F170" s="2976">
        <v>0.05</v>
      </c>
      <c r="G170" s="2988"/>
    </row>
    <row r="171" spans="1:7">
      <c r="A171" s="2986" t="s">
        <v>29</v>
      </c>
      <c r="B171" s="2975" t="s">
        <v>3189</v>
      </c>
      <c r="C171" s="2992"/>
      <c r="D171" s="2992"/>
      <c r="E171" s="2992"/>
      <c r="F171" s="2976">
        <v>0.05</v>
      </c>
      <c r="G171" s="2993"/>
    </row>
    <row r="172" spans="1:7">
      <c r="A172" s="2986" t="s">
        <v>29</v>
      </c>
      <c r="B172" s="2975" t="s">
        <v>3190</v>
      </c>
      <c r="C172" s="2992"/>
      <c r="D172" s="2992"/>
      <c r="E172" s="2992"/>
      <c r="F172" s="2976">
        <v>0.05</v>
      </c>
      <c r="G172" s="2993"/>
    </row>
    <row r="173" spans="1:7">
      <c r="A173" s="2986" t="s">
        <v>29</v>
      </c>
      <c r="B173" s="2975" t="s">
        <v>3191</v>
      </c>
      <c r="C173" s="2992"/>
      <c r="D173" s="2992"/>
      <c r="E173" s="2992"/>
      <c r="F173" s="2976">
        <v>0.05</v>
      </c>
      <c r="G173" s="2988"/>
    </row>
    <row r="174" spans="1:7">
      <c r="A174" s="2986" t="s">
        <v>29</v>
      </c>
      <c r="B174" s="2975" t="s">
        <v>3192</v>
      </c>
      <c r="C174" s="2992"/>
      <c r="D174" s="2992"/>
      <c r="E174" s="2992"/>
      <c r="F174" s="2976">
        <v>0.05</v>
      </c>
      <c r="G174" s="2988"/>
    </row>
    <row r="175" spans="1:7">
      <c r="A175" s="2986" t="s">
        <v>29</v>
      </c>
      <c r="B175" s="2975" t="s">
        <v>3193</v>
      </c>
      <c r="C175" s="2992"/>
      <c r="D175" s="2992"/>
      <c r="E175" s="2992"/>
      <c r="F175" s="2976">
        <v>0.05</v>
      </c>
      <c r="G175" s="2988"/>
    </row>
    <row r="176" spans="1:7">
      <c r="A176" s="2986" t="s">
        <v>29</v>
      </c>
      <c r="B176" s="2975" t="s">
        <v>3194</v>
      </c>
      <c r="C176" s="2992"/>
      <c r="D176" s="2992"/>
      <c r="E176" s="2992"/>
      <c r="F176" s="2976">
        <v>0.05</v>
      </c>
      <c r="G176" s="2988"/>
    </row>
    <row r="177" spans="1:7">
      <c r="A177" s="2986" t="s">
        <v>29</v>
      </c>
      <c r="B177" s="2975" t="s">
        <v>3195</v>
      </c>
      <c r="C177" s="2987"/>
      <c r="D177" s="2987"/>
      <c r="E177" s="2987"/>
      <c r="F177" s="2976">
        <v>0.05</v>
      </c>
      <c r="G177" s="2993"/>
    </row>
    <row r="178" spans="1:7">
      <c r="A178" s="2986" t="s">
        <v>29</v>
      </c>
      <c r="B178" s="2975" t="s">
        <v>3196</v>
      </c>
      <c r="C178" s="2987"/>
      <c r="D178" s="2987"/>
      <c r="E178" s="2987"/>
      <c r="F178" s="2976">
        <v>0.05</v>
      </c>
      <c r="G178" s="2993"/>
    </row>
    <row r="179" spans="1:7">
      <c r="A179" s="2986" t="s">
        <v>29</v>
      </c>
      <c r="B179" s="2975" t="s">
        <v>3197</v>
      </c>
      <c r="C179" s="2987"/>
      <c r="D179" s="2987"/>
      <c r="E179" s="2987"/>
      <c r="F179" s="2976">
        <v>0.05</v>
      </c>
      <c r="G179" s="2993"/>
    </row>
    <row r="180" spans="1:7">
      <c r="A180" s="2986" t="s">
        <v>29</v>
      </c>
      <c r="B180" s="2975" t="s">
        <v>3198</v>
      </c>
      <c r="C180" s="2987"/>
      <c r="D180" s="2987"/>
      <c r="E180" s="2987"/>
      <c r="F180" s="2976">
        <v>0.05</v>
      </c>
      <c r="G180" s="2993"/>
    </row>
    <row r="181" spans="1:7">
      <c r="A181" s="2986" t="s">
        <v>29</v>
      </c>
      <c r="B181" s="2975" t="s">
        <v>3199</v>
      </c>
      <c r="C181" s="2987"/>
      <c r="D181" s="2987"/>
      <c r="E181" s="2987"/>
      <c r="F181" s="2976">
        <v>0.05</v>
      </c>
      <c r="G181" s="2993"/>
    </row>
    <row r="182" spans="1:7">
      <c r="A182" s="2986" t="s">
        <v>29</v>
      </c>
      <c r="B182" s="2975" t="s">
        <v>3200</v>
      </c>
      <c r="C182" s="2987"/>
      <c r="D182" s="2987"/>
      <c r="E182" s="2987"/>
      <c r="F182" s="2976">
        <v>0.05</v>
      </c>
      <c r="G182" s="2993"/>
    </row>
    <row r="183" spans="1:7">
      <c r="A183" s="2986" t="s">
        <v>29</v>
      </c>
      <c r="B183" s="2975" t="s">
        <v>3201</v>
      </c>
      <c r="C183" s="2987"/>
      <c r="D183" s="2987"/>
      <c r="E183" s="2987"/>
      <c r="F183" s="2976">
        <v>0.05</v>
      </c>
      <c r="G183" s="2993"/>
    </row>
    <row r="184" spans="1:7">
      <c r="A184" s="2986" t="s">
        <v>29</v>
      </c>
      <c r="B184" s="2975" t="s">
        <v>3202</v>
      </c>
      <c r="C184" s="2987"/>
      <c r="D184" s="2987"/>
      <c r="E184" s="2987"/>
      <c r="F184" s="2976">
        <v>0.05</v>
      </c>
      <c r="G184" s="2993"/>
    </row>
    <row r="185" spans="1:7">
      <c r="A185" s="2986" t="s">
        <v>29</v>
      </c>
      <c r="B185" s="2975" t="s">
        <v>3203</v>
      </c>
      <c r="C185" s="2987"/>
      <c r="D185" s="2987"/>
      <c r="E185" s="2987"/>
      <c r="F185" s="2976">
        <v>0.05</v>
      </c>
      <c r="G185" s="2993"/>
    </row>
    <row r="186" spans="1:7">
      <c r="A186" s="2986" t="s">
        <v>29</v>
      </c>
      <c r="B186" s="2975" t="s">
        <v>3204</v>
      </c>
      <c r="C186" s="2987"/>
      <c r="D186" s="2987"/>
      <c r="E186" s="2987"/>
      <c r="F186" s="2976">
        <v>0.05</v>
      </c>
      <c r="G186" s="2993"/>
    </row>
    <row r="187" spans="1:7">
      <c r="A187" s="2986" t="s">
        <v>29</v>
      </c>
      <c r="B187" s="2975" t="s">
        <v>3205</v>
      </c>
      <c r="C187" s="2987"/>
      <c r="D187" s="2987"/>
      <c r="E187" s="2987"/>
      <c r="F187" s="2976">
        <v>0.05</v>
      </c>
      <c r="G187" s="2993"/>
    </row>
    <row r="188" spans="1:7">
      <c r="A188" s="2986" t="s">
        <v>29</v>
      </c>
      <c r="B188" s="2975" t="s">
        <v>3206</v>
      </c>
      <c r="C188" s="2987"/>
      <c r="D188" s="2987"/>
      <c r="E188" s="2987"/>
      <c r="F188" s="2976">
        <v>0.05</v>
      </c>
      <c r="G188" s="2993"/>
    </row>
    <row r="189" spans="1:7" ht="14.25" thickBot="1">
      <c r="A189" s="2989" t="s">
        <v>29</v>
      </c>
      <c r="B189" s="2979" t="s">
        <v>3207</v>
      </c>
      <c r="C189" s="2981"/>
      <c r="D189" s="2981"/>
      <c r="E189" s="2981"/>
      <c r="F189" s="2980">
        <v>0.05</v>
      </c>
      <c r="G189" s="2994"/>
    </row>
    <row r="190" spans="1:7">
      <c r="A190" s="2985" t="s">
        <v>304</v>
      </c>
      <c r="B190" s="2971" t="s">
        <v>2863</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2899</v>
      </c>
      <c r="C199" s="2976">
        <v>0.13</v>
      </c>
      <c r="D199" s="2976">
        <v>0.13</v>
      </c>
      <c r="E199" s="2976">
        <v>0.13</v>
      </c>
      <c r="F199" s="2976">
        <v>0.13</v>
      </c>
      <c r="G199" s="2977">
        <v>0.13</v>
      </c>
    </row>
    <row r="200" spans="1:7">
      <c r="A200" s="2986" t="s">
        <v>304</v>
      </c>
      <c r="B200" s="2975" t="s">
        <v>2902</v>
      </c>
      <c r="C200" s="2992"/>
      <c r="D200" s="2992"/>
      <c r="E200" s="2992"/>
      <c r="F200" s="2976">
        <v>0.13</v>
      </c>
      <c r="G200" s="2988"/>
    </row>
    <row r="201" spans="1:7">
      <c r="A201" s="2986" t="s">
        <v>304</v>
      </c>
      <c r="B201" s="2975" t="s">
        <v>2907</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2910</v>
      </c>
      <c r="C203" s="2976">
        <v>0.129</v>
      </c>
      <c r="D203" s="2976">
        <v>0.129</v>
      </c>
      <c r="E203" s="2976">
        <v>0.13</v>
      </c>
      <c r="F203" s="2976">
        <v>0.13</v>
      </c>
      <c r="G203" s="2977">
        <v>0.13</v>
      </c>
    </row>
    <row r="204" spans="1:7">
      <c r="A204" s="2986" t="s">
        <v>304</v>
      </c>
      <c r="B204" s="2975" t="s">
        <v>2913</v>
      </c>
      <c r="C204" s="2976">
        <v>0.129</v>
      </c>
      <c r="D204" s="2976">
        <v>0.129</v>
      </c>
      <c r="E204" s="2976">
        <v>0.123</v>
      </c>
      <c r="F204" s="2976">
        <v>0.13</v>
      </c>
      <c r="G204" s="2977">
        <v>0.13</v>
      </c>
    </row>
    <row r="205" spans="1:7">
      <c r="A205" s="2986" t="s">
        <v>304</v>
      </c>
      <c r="B205" s="2975" t="s">
        <v>2915</v>
      </c>
      <c r="C205" s="2976">
        <v>0.13</v>
      </c>
      <c r="D205" s="2976">
        <v>0.13</v>
      </c>
      <c r="E205" s="2976">
        <v>0.13</v>
      </c>
      <c r="F205" s="2976">
        <v>0.13</v>
      </c>
      <c r="G205" s="2977">
        <v>0.13</v>
      </c>
    </row>
    <row r="206" spans="1:7">
      <c r="A206" s="2986" t="s">
        <v>304</v>
      </c>
      <c r="B206" s="2975" t="s">
        <v>2918</v>
      </c>
      <c r="C206" s="2976">
        <v>0.13</v>
      </c>
      <c r="D206" s="2976">
        <v>0.13</v>
      </c>
      <c r="E206" s="2976">
        <v>0.13</v>
      </c>
      <c r="F206" s="2976">
        <v>0.128</v>
      </c>
      <c r="G206" s="2977">
        <v>0.13</v>
      </c>
    </row>
    <row r="207" spans="1:7">
      <c r="A207" s="2986" t="s">
        <v>304</v>
      </c>
      <c r="B207" s="2975" t="s">
        <v>2920</v>
      </c>
      <c r="C207" s="2976">
        <v>0.13</v>
      </c>
      <c r="D207" s="2976">
        <v>0.13</v>
      </c>
      <c r="E207" s="2976">
        <v>0.13</v>
      </c>
      <c r="F207" s="2976">
        <v>0.13</v>
      </c>
      <c r="G207" s="2977">
        <v>0.13</v>
      </c>
    </row>
    <row r="208" spans="1:7">
      <c r="A208" s="2986" t="s">
        <v>304</v>
      </c>
      <c r="B208" s="2975" t="s">
        <v>2923</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2930</v>
      </c>
      <c r="C210" s="2976">
        <v>0.121</v>
      </c>
      <c r="D210" s="2976">
        <v>0.121</v>
      </c>
      <c r="E210" s="2976">
        <v>0.125</v>
      </c>
      <c r="F210" s="2976">
        <v>0.13</v>
      </c>
      <c r="G210" s="2977">
        <v>0.123</v>
      </c>
    </row>
    <row r="211" spans="1:7">
      <c r="A211" s="2986" t="s">
        <v>304</v>
      </c>
      <c r="B211" s="2975" t="s">
        <v>2933</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2945</v>
      </c>
      <c r="C214" s="2976">
        <v>0.128</v>
      </c>
      <c r="D214" s="2976">
        <v>0.128</v>
      </c>
      <c r="E214" s="2976">
        <v>0.13</v>
      </c>
      <c r="F214" s="2976">
        <v>0.13</v>
      </c>
      <c r="G214" s="2977">
        <v>0.13</v>
      </c>
    </row>
    <row r="215" spans="1:7">
      <c r="A215" s="2986" t="s">
        <v>304</v>
      </c>
      <c r="B215" s="2975" t="s">
        <v>2949</v>
      </c>
      <c r="C215" s="2976">
        <v>0.13</v>
      </c>
      <c r="D215" s="2976">
        <v>0.13</v>
      </c>
      <c r="E215" s="2976">
        <v>0.13</v>
      </c>
      <c r="F215" s="2976">
        <v>0.129</v>
      </c>
      <c r="G215" s="2977">
        <v>0.13</v>
      </c>
    </row>
    <row r="216" spans="1:7">
      <c r="A216" s="2986" t="s">
        <v>304</v>
      </c>
      <c r="B216" s="2975" t="s">
        <v>2956</v>
      </c>
      <c r="C216" s="2976">
        <v>0.13</v>
      </c>
      <c r="D216" s="2976">
        <v>0.13</v>
      </c>
      <c r="E216" s="2976">
        <v>0.13</v>
      </c>
      <c r="F216" s="2976">
        <v>0.13</v>
      </c>
      <c r="G216" s="2977">
        <v>0.13</v>
      </c>
    </row>
    <row r="217" spans="1:7">
      <c r="A217" s="2986" t="s">
        <v>304</v>
      </c>
      <c r="B217" s="2975" t="s">
        <v>2963</v>
      </c>
      <c r="C217" s="2976">
        <v>0.129</v>
      </c>
      <c r="D217" s="2976">
        <v>0.129</v>
      </c>
      <c r="E217" s="2976">
        <v>0.13</v>
      </c>
      <c r="F217" s="2976">
        <v>0.13</v>
      </c>
      <c r="G217" s="2977">
        <v>0.13</v>
      </c>
    </row>
    <row r="218" spans="1:7">
      <c r="A218" s="2986" t="s">
        <v>304</v>
      </c>
      <c r="B218" s="2975" t="s">
        <v>2969</v>
      </c>
      <c r="C218" s="2987"/>
      <c r="D218" s="2987"/>
      <c r="E218" s="2987"/>
      <c r="F218" s="2976">
        <v>0.05</v>
      </c>
      <c r="G218" s="2993"/>
    </row>
    <row r="219" spans="1:7">
      <c r="A219" s="2986" t="s">
        <v>304</v>
      </c>
      <c r="B219" s="2975" t="s">
        <v>2976</v>
      </c>
      <c r="C219" s="2987"/>
      <c r="D219" s="2987"/>
      <c r="E219" s="2987"/>
      <c r="F219" s="2976">
        <v>0.05</v>
      </c>
      <c r="G219" s="2993"/>
    </row>
    <row r="220" spans="1:7">
      <c r="A220" s="2986" t="s">
        <v>304</v>
      </c>
      <c r="B220" s="2975" t="s">
        <v>2982</v>
      </c>
      <c r="C220" s="2987"/>
      <c r="D220" s="2987"/>
      <c r="E220" s="2987"/>
      <c r="F220" s="2976">
        <v>0.05</v>
      </c>
      <c r="G220" s="2993"/>
    </row>
    <row r="221" spans="1:7">
      <c r="A221" s="2986" t="s">
        <v>304</v>
      </c>
      <c r="B221" s="2975" t="s">
        <v>2987</v>
      </c>
      <c r="C221" s="2987"/>
      <c r="D221" s="2987"/>
      <c r="E221" s="2987"/>
      <c r="F221" s="2976">
        <v>0.05</v>
      </c>
      <c r="G221" s="2993"/>
    </row>
    <row r="222" spans="1:7">
      <c r="A222" s="2986" t="s">
        <v>304</v>
      </c>
      <c r="B222" s="2975" t="s">
        <v>2991</v>
      </c>
      <c r="C222" s="2987"/>
      <c r="D222" s="2987"/>
      <c r="E222" s="2987"/>
      <c r="F222" s="2976">
        <v>0.05</v>
      </c>
      <c r="G222" s="2993"/>
    </row>
    <row r="223" spans="1:7">
      <c r="A223" s="2986" t="s">
        <v>304</v>
      </c>
      <c r="B223" s="2975" t="s">
        <v>2996</v>
      </c>
      <c r="C223" s="2987"/>
      <c r="D223" s="2987"/>
      <c r="E223" s="2987"/>
      <c r="F223" s="2976">
        <v>0.05</v>
      </c>
      <c r="G223" s="2993"/>
    </row>
    <row r="224" spans="1:7">
      <c r="A224" s="2986" t="s">
        <v>304</v>
      </c>
      <c r="B224" s="2975" t="s">
        <v>3001</v>
      </c>
      <c r="C224" s="2987"/>
      <c r="D224" s="2987"/>
      <c r="E224" s="2987"/>
      <c r="F224" s="2976">
        <v>0.05</v>
      </c>
      <c r="G224" s="2993"/>
    </row>
    <row r="225" spans="1:7">
      <c r="A225" s="2986" t="s">
        <v>304</v>
      </c>
      <c r="B225" s="2975" t="s">
        <v>3006</v>
      </c>
      <c r="C225" s="2987"/>
      <c r="D225" s="2987"/>
      <c r="E225" s="2987"/>
      <c r="F225" s="2976">
        <v>0.05</v>
      </c>
      <c r="G225" s="2993"/>
    </row>
    <row r="226" spans="1:7">
      <c r="A226" s="2986" t="s">
        <v>304</v>
      </c>
      <c r="B226" s="2975" t="s">
        <v>3208</v>
      </c>
      <c r="C226" s="2987"/>
      <c r="D226" s="2987"/>
      <c r="E226" s="2987"/>
      <c r="F226" s="2976">
        <v>0.05</v>
      </c>
      <c r="G226" s="2993"/>
    </row>
    <row r="227" spans="1:7">
      <c r="A227" s="2986" t="s">
        <v>304</v>
      </c>
      <c r="B227" s="2975" t="s">
        <v>3209</v>
      </c>
      <c r="C227" s="2987"/>
      <c r="D227" s="2987"/>
      <c r="E227" s="2987"/>
      <c r="F227" s="2976">
        <v>0.05</v>
      </c>
      <c r="G227" s="2993"/>
    </row>
    <row r="228" spans="1:7">
      <c r="A228" s="2986" t="s">
        <v>304</v>
      </c>
      <c r="B228" s="2975" t="s">
        <v>3210</v>
      </c>
      <c r="C228" s="2987"/>
      <c r="D228" s="2987"/>
      <c r="E228" s="2987"/>
      <c r="F228" s="2976">
        <v>0.05</v>
      </c>
      <c r="G228" s="2993"/>
    </row>
    <row r="229" spans="1:7">
      <c r="A229" s="2986" t="s">
        <v>304</v>
      </c>
      <c r="B229" s="2975" t="s">
        <v>3211</v>
      </c>
      <c r="C229" s="2987"/>
      <c r="D229" s="2987"/>
      <c r="E229" s="2987"/>
      <c r="F229" s="2976">
        <v>0.05</v>
      </c>
      <c r="G229" s="2993"/>
    </row>
    <row r="230" spans="1:7">
      <c r="A230" s="2986" t="s">
        <v>304</v>
      </c>
      <c r="B230" s="2975" t="s">
        <v>3212</v>
      </c>
      <c r="C230" s="2987"/>
      <c r="D230" s="2987"/>
      <c r="E230" s="2987"/>
      <c r="F230" s="2976">
        <v>0.05</v>
      </c>
      <c r="G230" s="2993"/>
    </row>
    <row r="231" spans="1:7">
      <c r="A231" s="2986" t="s">
        <v>304</v>
      </c>
      <c r="B231" s="2975" t="s">
        <v>3213</v>
      </c>
      <c r="C231" s="2987"/>
      <c r="D231" s="2987"/>
      <c r="E231" s="2987"/>
      <c r="F231" s="2976">
        <v>0.05</v>
      </c>
      <c r="G231" s="2993"/>
    </row>
    <row r="232" spans="1:7">
      <c r="A232" s="2986" t="s">
        <v>304</v>
      </c>
      <c r="B232" s="2975" t="s">
        <v>3214</v>
      </c>
      <c r="C232" s="2987"/>
      <c r="D232" s="2987"/>
      <c r="E232" s="2987"/>
      <c r="F232" s="2976">
        <v>0.05</v>
      </c>
      <c r="G232" s="2993"/>
    </row>
    <row r="233" spans="1:7" ht="14.25" thickBot="1">
      <c r="A233" s="2989" t="s">
        <v>304</v>
      </c>
      <c r="B233" s="2979" t="s">
        <v>3215</v>
      </c>
      <c r="C233" s="2981"/>
      <c r="D233" s="2981"/>
      <c r="E233" s="2981"/>
      <c r="F233" s="2980">
        <v>0.05</v>
      </c>
      <c r="G233" s="2994"/>
    </row>
    <row r="234" spans="1:7">
      <c r="A234" s="2985" t="s">
        <v>305</v>
      </c>
      <c r="B234" s="2971" t="s">
        <v>2864</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2884</v>
      </c>
      <c r="C238" s="2976">
        <v>0.14899999999999999</v>
      </c>
      <c r="D238" s="2976">
        <v>0.14899999999999999</v>
      </c>
      <c r="E238" s="2976">
        <v>0.15</v>
      </c>
      <c r="F238" s="2976">
        <v>0.15</v>
      </c>
      <c r="G238" s="2977">
        <v>0.15</v>
      </c>
    </row>
    <row r="239" spans="1:7">
      <c r="A239" s="2986" t="s">
        <v>305</v>
      </c>
      <c r="B239" s="2975" t="s">
        <v>2888</v>
      </c>
      <c r="C239" s="2976">
        <v>0.15</v>
      </c>
      <c r="D239" s="2976">
        <v>0.15</v>
      </c>
      <c r="E239" s="2976">
        <v>0.15</v>
      </c>
      <c r="F239" s="2976">
        <v>0.15</v>
      </c>
      <c r="G239" s="2977">
        <v>0.15</v>
      </c>
    </row>
    <row r="240" spans="1:7">
      <c r="A240" s="2986" t="s">
        <v>305</v>
      </c>
      <c r="B240" s="2975" t="s">
        <v>2893</v>
      </c>
      <c r="C240" s="2976">
        <v>0.15</v>
      </c>
      <c r="D240" s="2976">
        <v>0.15</v>
      </c>
      <c r="E240" s="2976">
        <v>0.15</v>
      </c>
      <c r="F240" s="2976">
        <v>0.15</v>
      </c>
      <c r="G240" s="2977">
        <v>0.15</v>
      </c>
    </row>
    <row r="241" spans="1:7">
      <c r="A241" s="2986" t="s">
        <v>305</v>
      </c>
      <c r="B241" s="2975" t="s">
        <v>2897</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2903</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2911</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2916</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2924</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2937</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2946</v>
      </c>
      <c r="C258" s="2976">
        <v>0.14299999999999999</v>
      </c>
      <c r="D258" s="2976">
        <v>0.14299999999999999</v>
      </c>
      <c r="E258" s="2976">
        <v>0.15</v>
      </c>
      <c r="F258" s="2976">
        <v>0.14799999999999999</v>
      </c>
      <c r="G258" s="2977">
        <v>0.14599999999999999</v>
      </c>
    </row>
    <row r="259" spans="1:7">
      <c r="A259" s="2986" t="s">
        <v>305</v>
      </c>
      <c r="B259" s="2975" t="s">
        <v>2950</v>
      </c>
      <c r="C259" s="2976">
        <v>0.14399999999999999</v>
      </c>
      <c r="D259" s="2976">
        <v>0.14399999999999999</v>
      </c>
      <c r="E259" s="2976">
        <v>0.14899999999999999</v>
      </c>
      <c r="F259" s="2976">
        <v>0.14699999999999999</v>
      </c>
      <c r="G259" s="2977">
        <v>0.14599999999999999</v>
      </c>
    </row>
    <row r="260" spans="1:7">
      <c r="A260" s="2986" t="s">
        <v>305</v>
      </c>
      <c r="B260" s="2975" t="s">
        <v>2957</v>
      </c>
      <c r="C260" s="2976">
        <v>0.109</v>
      </c>
      <c r="D260" s="2976">
        <v>0.111</v>
      </c>
      <c r="E260" s="2976">
        <v>0.13100000000000001</v>
      </c>
      <c r="F260" s="2976">
        <v>0.126</v>
      </c>
      <c r="G260" s="2977">
        <v>0.11899999999999999</v>
      </c>
    </row>
    <row r="261" spans="1:7">
      <c r="A261" s="2986" t="s">
        <v>305</v>
      </c>
      <c r="B261" s="2975" t="s">
        <v>2964</v>
      </c>
      <c r="C261" s="2976">
        <v>0.1</v>
      </c>
      <c r="D261" s="2976">
        <v>0.1</v>
      </c>
      <c r="E261" s="2976">
        <v>0.11799999999999999</v>
      </c>
      <c r="F261" s="2976">
        <v>0.108</v>
      </c>
      <c r="G261" s="2977">
        <v>0.107</v>
      </c>
    </row>
    <row r="262" spans="1:7">
      <c r="A262" s="2986" t="s">
        <v>305</v>
      </c>
      <c r="B262" s="2975" t="s">
        <v>2970</v>
      </c>
      <c r="C262" s="2976">
        <v>0.1</v>
      </c>
      <c r="D262" s="2976">
        <v>0.1</v>
      </c>
      <c r="E262" s="2976">
        <v>0.1</v>
      </c>
      <c r="F262" s="2976">
        <v>0.14099999999999999</v>
      </c>
      <c r="G262" s="2977">
        <v>0.1</v>
      </c>
    </row>
    <row r="263" spans="1:7">
      <c r="A263" s="2986" t="s">
        <v>305</v>
      </c>
      <c r="B263" s="2975" t="s">
        <v>2977</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2988</v>
      </c>
      <c r="C265" s="2987"/>
      <c r="D265" s="2987"/>
      <c r="E265" s="2987"/>
      <c r="F265" s="2976">
        <v>0.05</v>
      </c>
      <c r="G265" s="2993"/>
    </row>
    <row r="266" spans="1:7">
      <c r="A266" s="2986" t="s">
        <v>305</v>
      </c>
      <c r="B266" s="2975" t="s">
        <v>2992</v>
      </c>
      <c r="C266" s="2987"/>
      <c r="D266" s="2987"/>
      <c r="E266" s="2987"/>
      <c r="F266" s="2976">
        <v>0.05</v>
      </c>
      <c r="G266" s="2993"/>
    </row>
    <row r="267" spans="1:7">
      <c r="A267" s="2986" t="s">
        <v>305</v>
      </c>
      <c r="B267" s="2975" t="s">
        <v>2997</v>
      </c>
      <c r="C267" s="2987"/>
      <c r="D267" s="2987"/>
      <c r="E267" s="2987"/>
      <c r="F267" s="2976">
        <v>0.05</v>
      </c>
      <c r="G267" s="2993"/>
    </row>
    <row r="268" spans="1:7">
      <c r="A268" s="2986" t="s">
        <v>305</v>
      </c>
      <c r="B268" s="2975" t="s">
        <v>3002</v>
      </c>
      <c r="C268" s="2987"/>
      <c r="D268" s="2987"/>
      <c r="E268" s="2987"/>
      <c r="F268" s="2976">
        <v>0.05</v>
      </c>
      <c r="G268" s="2993"/>
    </row>
    <row r="269" spans="1:7">
      <c r="A269" s="2986" t="s">
        <v>305</v>
      </c>
      <c r="B269" s="2975" t="s">
        <v>3007</v>
      </c>
      <c r="C269" s="2987"/>
      <c r="D269" s="2987"/>
      <c r="E269" s="2987"/>
      <c r="F269" s="2976">
        <v>0.05</v>
      </c>
      <c r="G269" s="2993"/>
    </row>
    <row r="270" spans="1:7">
      <c r="A270" s="2986" t="s">
        <v>305</v>
      </c>
      <c r="B270" s="2975" t="s">
        <v>3012</v>
      </c>
      <c r="C270" s="2987"/>
      <c r="D270" s="2987"/>
      <c r="E270" s="2987"/>
      <c r="F270" s="2976">
        <v>0.05</v>
      </c>
      <c r="G270" s="2993"/>
    </row>
    <row r="271" spans="1:7">
      <c r="A271" s="2986" t="s">
        <v>305</v>
      </c>
      <c r="B271" s="2975" t="s">
        <v>3216</v>
      </c>
      <c r="C271" s="2987"/>
      <c r="D271" s="2987"/>
      <c r="E271" s="2987"/>
      <c r="F271" s="2976">
        <v>0.05</v>
      </c>
      <c r="G271" s="2993"/>
    </row>
    <row r="272" spans="1:7">
      <c r="A272" s="2986" t="s">
        <v>305</v>
      </c>
      <c r="B272" s="2975" t="s">
        <v>3217</v>
      </c>
      <c r="C272" s="2987"/>
      <c r="D272" s="2987"/>
      <c r="E272" s="2987"/>
      <c r="F272" s="2976">
        <v>0.05</v>
      </c>
      <c r="G272" s="2993"/>
    </row>
    <row r="273" spans="1:7">
      <c r="A273" s="2986" t="s">
        <v>305</v>
      </c>
      <c r="B273" s="2975" t="s">
        <v>3218</v>
      </c>
      <c r="C273" s="2987"/>
      <c r="D273" s="2987"/>
      <c r="E273" s="2987"/>
      <c r="F273" s="2976">
        <v>0.05</v>
      </c>
      <c r="G273" s="2993"/>
    </row>
    <row r="274" spans="1:7">
      <c r="A274" s="2986" t="s">
        <v>305</v>
      </c>
      <c r="B274" s="2975" t="s">
        <v>3219</v>
      </c>
      <c r="C274" s="2987"/>
      <c r="D274" s="2987"/>
      <c r="E274" s="2987"/>
      <c r="F274" s="2976">
        <v>0.05</v>
      </c>
      <c r="G274" s="2993"/>
    </row>
    <row r="275" spans="1:7">
      <c r="A275" s="2986" t="s">
        <v>305</v>
      </c>
      <c r="B275" s="2975" t="s">
        <v>3220</v>
      </c>
      <c r="C275" s="2987"/>
      <c r="D275" s="2987"/>
      <c r="E275" s="2987"/>
      <c r="F275" s="2976">
        <v>0.05</v>
      </c>
      <c r="G275" s="2993"/>
    </row>
    <row r="276" spans="1:7" ht="14.25" thickBot="1">
      <c r="A276" s="2989" t="s">
        <v>305</v>
      </c>
      <c r="B276" s="2979" t="s">
        <v>3221</v>
      </c>
      <c r="C276" s="2981"/>
      <c r="D276" s="2981"/>
      <c r="E276" s="2981"/>
      <c r="F276" s="2980">
        <v>0.05</v>
      </c>
      <c r="G276" s="2994"/>
    </row>
    <row r="277" spans="1:7">
      <c r="A277" s="2985" t="s">
        <v>306</v>
      </c>
      <c r="B277" s="2971" t="s">
        <v>2865</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2877</v>
      </c>
      <c r="C279" s="2976">
        <v>0.15</v>
      </c>
      <c r="D279" s="2976">
        <v>0.15</v>
      </c>
      <c r="E279" s="2976">
        <v>0.15</v>
      </c>
      <c r="F279" s="2976">
        <v>0.15</v>
      </c>
      <c r="G279" s="2977">
        <v>0.15</v>
      </c>
    </row>
    <row r="280" spans="1:7">
      <c r="A280" s="2986" t="s">
        <v>306</v>
      </c>
      <c r="B280" s="2975" t="s">
        <v>2881</v>
      </c>
      <c r="C280" s="2976">
        <v>0.15</v>
      </c>
      <c r="D280" s="2976">
        <v>0.15</v>
      </c>
      <c r="E280" s="2976">
        <v>0.15</v>
      </c>
      <c r="F280" s="2976">
        <v>0.15</v>
      </c>
      <c r="G280" s="2977">
        <v>0.15</v>
      </c>
    </row>
    <row r="281" spans="1:7">
      <c r="A281" s="2986" t="s">
        <v>306</v>
      </c>
      <c r="B281" s="2975" t="s">
        <v>2885</v>
      </c>
      <c r="C281" s="2976">
        <v>0.15</v>
      </c>
      <c r="D281" s="2976">
        <v>0.15</v>
      </c>
      <c r="E281" s="2976">
        <v>0.15</v>
      </c>
      <c r="F281" s="2976">
        <v>0.15</v>
      </c>
      <c r="G281" s="2977">
        <v>0.15</v>
      </c>
    </row>
    <row r="282" spans="1:7">
      <c r="A282" s="2986" t="s">
        <v>306</v>
      </c>
      <c r="B282" s="2975" t="s">
        <v>2889</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2904</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2909</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2919</v>
      </c>
      <c r="C293" s="2976">
        <v>0.15</v>
      </c>
      <c r="D293" s="2976">
        <v>0.15</v>
      </c>
      <c r="E293" s="2976">
        <v>0.15</v>
      </c>
      <c r="F293" s="2976">
        <v>0.14499999999999999</v>
      </c>
      <c r="G293" s="2977">
        <v>0.15</v>
      </c>
    </row>
    <row r="294" spans="1:7">
      <c r="A294" s="2986" t="s">
        <v>306</v>
      </c>
      <c r="B294" s="2975" t="s">
        <v>2921</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2938</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2951</v>
      </c>
      <c r="C302" s="2976">
        <v>0.15</v>
      </c>
      <c r="D302" s="2976">
        <v>0.15</v>
      </c>
      <c r="E302" s="2976">
        <v>0.15</v>
      </c>
      <c r="F302" s="2976">
        <v>0.14699999999999999</v>
      </c>
      <c r="G302" s="2977">
        <v>0.15</v>
      </c>
    </row>
    <row r="303" spans="1:7">
      <c r="A303" s="2986" t="s">
        <v>306</v>
      </c>
      <c r="B303" s="2975" t="s">
        <v>2958</v>
      </c>
      <c r="C303" s="2976">
        <v>0.15</v>
      </c>
      <c r="D303" s="2976">
        <v>0.15</v>
      </c>
      <c r="E303" s="2976">
        <v>0.15</v>
      </c>
      <c r="F303" s="2976">
        <v>0.14199999999999999</v>
      </c>
      <c r="G303" s="2977">
        <v>0.15</v>
      </c>
    </row>
    <row r="304" spans="1:7">
      <c r="A304" s="2986" t="s">
        <v>306</v>
      </c>
      <c r="B304" s="2975" t="s">
        <v>2965</v>
      </c>
      <c r="C304" s="2976">
        <v>0.15</v>
      </c>
      <c r="D304" s="2976">
        <v>0.15</v>
      </c>
      <c r="E304" s="2976">
        <v>0.15</v>
      </c>
      <c r="F304" s="2976">
        <v>0.14499999999999999</v>
      </c>
      <c r="G304" s="2977">
        <v>0.15</v>
      </c>
    </row>
    <row r="305" spans="1:7">
      <c r="A305" s="2986" t="s">
        <v>306</v>
      </c>
      <c r="B305" s="2975" t="s">
        <v>2971</v>
      </c>
      <c r="C305" s="2976">
        <v>0.15</v>
      </c>
      <c r="D305" s="2976">
        <v>0.15</v>
      </c>
      <c r="E305" s="2976">
        <v>0.15</v>
      </c>
      <c r="F305" s="2976">
        <v>0.111</v>
      </c>
      <c r="G305" s="2977">
        <v>0.15</v>
      </c>
    </row>
    <row r="306" spans="1:7">
      <c r="A306" s="2986" t="s">
        <v>306</v>
      </c>
      <c r="B306" s="2975" t="s">
        <v>2978</v>
      </c>
      <c r="C306" s="2976">
        <v>0.15</v>
      </c>
      <c r="D306" s="2976">
        <v>0.15</v>
      </c>
      <c r="E306" s="2976">
        <v>0.15</v>
      </c>
      <c r="F306" s="2976">
        <v>0.126</v>
      </c>
      <c r="G306" s="2977">
        <v>0.15</v>
      </c>
    </row>
    <row r="307" spans="1:7">
      <c r="A307" s="2986" t="s">
        <v>306</v>
      </c>
      <c r="B307" s="2975" t="s">
        <v>2983</v>
      </c>
      <c r="C307" s="2976">
        <v>0.15</v>
      </c>
      <c r="D307" s="2976">
        <v>0.15</v>
      </c>
      <c r="E307" s="2976">
        <v>0.15</v>
      </c>
      <c r="F307" s="2976">
        <v>0.12</v>
      </c>
      <c r="G307" s="2977">
        <v>0.15</v>
      </c>
    </row>
    <row r="308" spans="1:7">
      <c r="A308" s="2986" t="s">
        <v>306</v>
      </c>
      <c r="B308" s="2975" t="s">
        <v>2989</v>
      </c>
      <c r="C308" s="2976">
        <v>0.15</v>
      </c>
      <c r="D308" s="2976">
        <v>0.15</v>
      </c>
      <c r="E308" s="2976">
        <v>0.15</v>
      </c>
      <c r="F308" s="2976">
        <v>0.13</v>
      </c>
      <c r="G308" s="2977">
        <v>0.15</v>
      </c>
    </row>
    <row r="309" spans="1:7">
      <c r="A309" s="2986" t="s">
        <v>306</v>
      </c>
      <c r="B309" s="2975" t="s">
        <v>2993</v>
      </c>
      <c r="C309" s="2976">
        <v>0.15</v>
      </c>
      <c r="D309" s="2976">
        <v>0.15</v>
      </c>
      <c r="E309" s="2976">
        <v>0.15</v>
      </c>
      <c r="F309" s="2976">
        <v>0.14099999999999999</v>
      </c>
      <c r="G309" s="2977">
        <v>0.15</v>
      </c>
    </row>
    <row r="310" spans="1:7">
      <c r="A310" s="2986" t="s">
        <v>306</v>
      </c>
      <c r="B310" s="2975" t="s">
        <v>2998</v>
      </c>
      <c r="C310" s="2976">
        <v>0.15</v>
      </c>
      <c r="D310" s="2976">
        <v>0.15</v>
      </c>
      <c r="E310" s="2976">
        <v>0.15</v>
      </c>
      <c r="F310" s="2976">
        <v>0.15</v>
      </c>
      <c r="G310" s="2977">
        <v>0.15</v>
      </c>
    </row>
    <row r="311" spans="1:7">
      <c r="A311" s="2986" t="s">
        <v>306</v>
      </c>
      <c r="B311" s="2975" t="s">
        <v>3003</v>
      </c>
      <c r="C311" s="2976">
        <v>0.13200000000000001</v>
      </c>
      <c r="D311" s="2976">
        <v>0.13300000000000001</v>
      </c>
      <c r="E311" s="2976">
        <v>0.14499999999999999</v>
      </c>
      <c r="F311" s="2976">
        <v>0.14199999999999999</v>
      </c>
      <c r="G311" s="2977">
        <v>0.14000000000000001</v>
      </c>
    </row>
    <row r="312" spans="1:7">
      <c r="A312" s="2986" t="s">
        <v>306</v>
      </c>
      <c r="B312" s="2975" t="s">
        <v>3008</v>
      </c>
      <c r="C312" s="2976">
        <v>0.13800000000000001</v>
      </c>
      <c r="D312" s="2976">
        <v>0.14000000000000001</v>
      </c>
      <c r="E312" s="2976">
        <v>0.14599999999999999</v>
      </c>
      <c r="F312" s="2976">
        <v>0.14899999999999999</v>
      </c>
      <c r="G312" s="2977">
        <v>0.14199999999999999</v>
      </c>
    </row>
    <row r="313" spans="1:7">
      <c r="A313" s="2986" t="s">
        <v>306</v>
      </c>
      <c r="B313" s="2975" t="s">
        <v>3013</v>
      </c>
      <c r="C313" s="2976">
        <v>0.125</v>
      </c>
      <c r="D313" s="2976">
        <v>0.127</v>
      </c>
      <c r="E313" s="2976">
        <v>0.14399999999999999</v>
      </c>
      <c r="F313" s="2976">
        <v>0.115</v>
      </c>
      <c r="G313" s="2977">
        <v>0.13600000000000001</v>
      </c>
    </row>
    <row r="314" spans="1:7">
      <c r="A314" s="2986" t="s">
        <v>306</v>
      </c>
      <c r="B314" s="2975" t="s">
        <v>3222</v>
      </c>
      <c r="C314" s="2992"/>
      <c r="D314" s="2992"/>
      <c r="E314" s="2992"/>
      <c r="F314" s="2976">
        <v>0.05</v>
      </c>
      <c r="G314" s="2993"/>
    </row>
    <row r="315" spans="1:7">
      <c r="A315" s="2986" t="s">
        <v>306</v>
      </c>
      <c r="B315" s="2975" t="s">
        <v>3223</v>
      </c>
      <c r="C315" s="2992"/>
      <c r="D315" s="2992"/>
      <c r="E315" s="2992"/>
      <c r="F315" s="2976">
        <v>0.05</v>
      </c>
      <c r="G315" s="2993"/>
    </row>
    <row r="316" spans="1:7">
      <c r="A316" s="2986" t="s">
        <v>306</v>
      </c>
      <c r="B316" s="2975" t="s">
        <v>3224</v>
      </c>
      <c r="C316" s="2987"/>
      <c r="D316" s="2987"/>
      <c r="E316" s="2987"/>
      <c r="F316" s="2976">
        <v>0.05</v>
      </c>
      <c r="G316" s="2993"/>
    </row>
    <row r="317" spans="1:7">
      <c r="A317" s="2986" t="s">
        <v>306</v>
      </c>
      <c r="B317" s="2975" t="s">
        <v>3225</v>
      </c>
      <c r="C317" s="2987"/>
      <c r="D317" s="2987"/>
      <c r="E317" s="2987"/>
      <c r="F317" s="2976">
        <v>0.05</v>
      </c>
      <c r="G317" s="2993"/>
    </row>
    <row r="318" spans="1:7">
      <c r="A318" s="2986" t="s">
        <v>306</v>
      </c>
      <c r="B318" s="2975" t="s">
        <v>3226</v>
      </c>
      <c r="C318" s="2987"/>
      <c r="D318" s="2987"/>
      <c r="E318" s="2987"/>
      <c r="F318" s="2976">
        <v>0.05</v>
      </c>
      <c r="G318" s="2993"/>
    </row>
    <row r="319" spans="1:7">
      <c r="A319" s="2986" t="s">
        <v>306</v>
      </c>
      <c r="B319" s="2975" t="s">
        <v>3227</v>
      </c>
      <c r="C319" s="2987"/>
      <c r="D319" s="2987"/>
      <c r="E319" s="2987"/>
      <c r="F319" s="2976">
        <v>0.05</v>
      </c>
      <c r="G319" s="2993"/>
    </row>
    <row r="320" spans="1:7">
      <c r="A320" s="2986" t="s">
        <v>306</v>
      </c>
      <c r="B320" s="2975" t="s">
        <v>3228</v>
      </c>
      <c r="C320" s="2987"/>
      <c r="D320" s="2987"/>
      <c r="E320" s="2987"/>
      <c r="F320" s="2976">
        <v>0.05</v>
      </c>
      <c r="G320" s="2993"/>
    </row>
    <row r="321" spans="1:7">
      <c r="A321" s="2986" t="s">
        <v>306</v>
      </c>
      <c r="B321" s="2975" t="s">
        <v>3229</v>
      </c>
      <c r="C321" s="2987"/>
      <c r="D321" s="2987"/>
      <c r="E321" s="2987"/>
      <c r="F321" s="2976">
        <v>0.05</v>
      </c>
      <c r="G321" s="2993"/>
    </row>
    <row r="322" spans="1:7">
      <c r="A322" s="2986" t="s">
        <v>306</v>
      </c>
      <c r="B322" s="2975" t="s">
        <v>3230</v>
      </c>
      <c r="C322" s="2987"/>
      <c r="D322" s="2987"/>
      <c r="E322" s="2987"/>
      <c r="F322" s="2976">
        <v>0.05</v>
      </c>
      <c r="G322" s="2993"/>
    </row>
    <row r="323" spans="1:7">
      <c r="A323" s="2986" t="s">
        <v>306</v>
      </c>
      <c r="B323" s="2975" t="s">
        <v>3231</v>
      </c>
      <c r="C323" s="2987"/>
      <c r="D323" s="2987"/>
      <c r="E323" s="2987"/>
      <c r="F323" s="2976">
        <v>0.05</v>
      </c>
      <c r="G323" s="2993"/>
    </row>
    <row r="324" spans="1:7">
      <c r="A324" s="2986" t="s">
        <v>306</v>
      </c>
      <c r="B324" s="2975" t="s">
        <v>3232</v>
      </c>
      <c r="C324" s="2987"/>
      <c r="D324" s="2987"/>
      <c r="E324" s="2987"/>
      <c r="F324" s="2976">
        <v>0.05</v>
      </c>
      <c r="G324" s="2993"/>
    </row>
    <row r="325" spans="1:7">
      <c r="A325" s="2986" t="s">
        <v>306</v>
      </c>
      <c r="B325" s="2975" t="s">
        <v>3233</v>
      </c>
      <c r="C325" s="2987"/>
      <c r="D325" s="2987"/>
      <c r="E325" s="2987"/>
      <c r="F325" s="2976">
        <v>0.05</v>
      </c>
      <c r="G325" s="2993"/>
    </row>
    <row r="326" spans="1:7" ht="14.25" thickBot="1">
      <c r="A326" s="2989" t="s">
        <v>306</v>
      </c>
      <c r="B326" s="2979" t="s">
        <v>3234</v>
      </c>
      <c r="C326" s="2981"/>
      <c r="D326" s="2981"/>
      <c r="E326" s="2981"/>
      <c r="F326" s="2980">
        <v>0.05</v>
      </c>
      <c r="G326" s="2994"/>
    </row>
    <row r="327" spans="1:7">
      <c r="A327" s="2985" t="s">
        <v>307</v>
      </c>
      <c r="B327" s="2971" t="s">
        <v>2866</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2878</v>
      </c>
      <c r="C329" s="2976">
        <v>0.15</v>
      </c>
      <c r="D329" s="2976">
        <v>0.15</v>
      </c>
      <c r="E329" s="2976">
        <v>0.15</v>
      </c>
      <c r="F329" s="2976">
        <v>0.15</v>
      </c>
      <c r="G329" s="2977">
        <v>0.15</v>
      </c>
    </row>
    <row r="330" spans="1:7">
      <c r="A330" s="2986" t="s">
        <v>307</v>
      </c>
      <c r="B330" s="2975" t="s">
        <v>2882</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2890</v>
      </c>
      <c r="C332" s="2976">
        <v>0.15</v>
      </c>
      <c r="D332" s="2976">
        <v>0.15</v>
      </c>
      <c r="E332" s="2976">
        <v>0.15</v>
      </c>
      <c r="F332" s="2976">
        <v>0.15</v>
      </c>
      <c r="G332" s="2977">
        <v>0.15</v>
      </c>
    </row>
    <row r="333" spans="1:7">
      <c r="A333" s="2986" t="s">
        <v>307</v>
      </c>
      <c r="B333" s="2975" t="s">
        <v>2894</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2900</v>
      </c>
      <c r="C336" s="2976">
        <v>0.15</v>
      </c>
      <c r="D336" s="2976">
        <v>0.15</v>
      </c>
      <c r="E336" s="2976">
        <v>0.15</v>
      </c>
      <c r="F336" s="2976">
        <v>0.14199999999999999</v>
      </c>
      <c r="G336" s="2977">
        <v>0.15</v>
      </c>
    </row>
    <row r="337" spans="1:7">
      <c r="A337" s="2986" t="s">
        <v>307</v>
      </c>
      <c r="B337" s="2975" t="s">
        <v>2905</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2912</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2917</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2925</v>
      </c>
      <c r="C345" s="2976">
        <v>0.15</v>
      </c>
      <c r="D345" s="2976">
        <v>0.15</v>
      </c>
      <c r="E345" s="2976">
        <v>0.15</v>
      </c>
      <c r="F345" s="2976">
        <v>0.13800000000000001</v>
      </c>
      <c r="G345" s="2977">
        <v>0.15</v>
      </c>
    </row>
    <row r="346" spans="1:7">
      <c r="A346" s="2986" t="s">
        <v>307</v>
      </c>
      <c r="B346" s="2975" t="s">
        <v>2927</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2934</v>
      </c>
      <c r="C348" s="2976">
        <v>0.15</v>
      </c>
      <c r="D348" s="2976">
        <v>0.15</v>
      </c>
      <c r="E348" s="2976">
        <v>0.15</v>
      </c>
      <c r="F348" s="2976">
        <v>0.14399999999999999</v>
      </c>
      <c r="G348" s="2977">
        <v>0.15</v>
      </c>
    </row>
    <row r="349" spans="1:7">
      <c r="A349" s="2986" t="s">
        <v>307</v>
      </c>
      <c r="B349" s="2975" t="s">
        <v>2939</v>
      </c>
      <c r="C349" s="2976">
        <v>0.15</v>
      </c>
      <c r="D349" s="2976">
        <v>0.15</v>
      </c>
      <c r="E349" s="2976">
        <v>0.15</v>
      </c>
      <c r="F349" s="2976">
        <v>0.15</v>
      </c>
      <c r="G349" s="2977">
        <v>0.15</v>
      </c>
    </row>
    <row r="350" spans="1:7">
      <c r="A350" s="2986" t="s">
        <v>307</v>
      </c>
      <c r="B350" s="2975" t="s">
        <v>2942</v>
      </c>
      <c r="C350" s="2976">
        <v>0.15</v>
      </c>
      <c r="D350" s="2976">
        <v>0.15</v>
      </c>
      <c r="E350" s="2976">
        <v>0.15</v>
      </c>
      <c r="F350" s="2976">
        <v>0.14699999999999999</v>
      </c>
      <c r="G350" s="2977">
        <v>0.15</v>
      </c>
    </row>
    <row r="351" spans="1:7">
      <c r="A351" s="2986" t="s">
        <v>307</v>
      </c>
      <c r="B351" s="2975" t="s">
        <v>2947</v>
      </c>
      <c r="C351" s="2976">
        <v>0.15</v>
      </c>
      <c r="D351" s="2976">
        <v>0.15</v>
      </c>
      <c r="E351" s="2976">
        <v>0.15</v>
      </c>
      <c r="F351" s="2976">
        <v>0.13</v>
      </c>
      <c r="G351" s="2977">
        <v>0.15</v>
      </c>
    </row>
    <row r="352" spans="1:7">
      <c r="A352" s="2986" t="s">
        <v>307</v>
      </c>
      <c r="B352" s="2975" t="s">
        <v>2952</v>
      </c>
      <c r="C352" s="2976">
        <v>0.15</v>
      </c>
      <c r="D352" s="2976">
        <v>0.15</v>
      </c>
      <c r="E352" s="2976">
        <v>0.15</v>
      </c>
      <c r="F352" s="2976">
        <v>0.14599999999999999</v>
      </c>
      <c r="G352" s="2977">
        <v>0.15</v>
      </c>
    </row>
    <row r="353" spans="1:7">
      <c r="A353" s="2986" t="s">
        <v>307</v>
      </c>
      <c r="B353" s="2975" t="s">
        <v>2959</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2972</v>
      </c>
      <c r="C355" s="2976">
        <v>0.15</v>
      </c>
      <c r="D355" s="2976">
        <v>0.15</v>
      </c>
      <c r="E355" s="2976">
        <v>0.15</v>
      </c>
      <c r="F355" s="2976">
        <v>0.15</v>
      </c>
      <c r="G355" s="2977">
        <v>0.15</v>
      </c>
    </row>
    <row r="356" spans="1:7">
      <c r="A356" s="2986" t="s">
        <v>307</v>
      </c>
      <c r="B356" s="2975" t="s">
        <v>2979</v>
      </c>
      <c r="C356" s="2976">
        <v>0.15</v>
      </c>
      <c r="D356" s="2976">
        <v>0.15</v>
      </c>
      <c r="E356" s="2976">
        <v>0.15</v>
      </c>
      <c r="F356" s="2976">
        <v>0.15</v>
      </c>
      <c r="G356" s="2977">
        <v>0.15</v>
      </c>
    </row>
    <row r="357" spans="1:7" ht="14.25" thickBot="1">
      <c r="A357" s="2989" t="s">
        <v>307</v>
      </c>
      <c r="B357" s="2979" t="s">
        <v>2984</v>
      </c>
      <c r="C357" s="2980">
        <v>0.126</v>
      </c>
      <c r="D357" s="2980">
        <v>0.127</v>
      </c>
      <c r="E357" s="2980">
        <v>0.14299999999999999</v>
      </c>
      <c r="F357" s="2980">
        <v>0.125</v>
      </c>
      <c r="G357" s="2982">
        <v>0.129</v>
      </c>
    </row>
    <row r="358" spans="1:7">
      <c r="A358" s="2985" t="s">
        <v>2853</v>
      </c>
      <c r="B358" s="2971" t="s">
        <v>2867</v>
      </c>
      <c r="C358" s="2972">
        <v>0.15</v>
      </c>
      <c r="D358" s="2972">
        <v>0.15</v>
      </c>
      <c r="E358" s="2972">
        <v>0.15</v>
      </c>
      <c r="F358" s="2972">
        <v>0.15</v>
      </c>
      <c r="G358" s="2973">
        <v>0.15</v>
      </c>
    </row>
    <row r="359" spans="1:7">
      <c r="A359" s="2986" t="s">
        <v>2853</v>
      </c>
      <c r="B359" s="2975" t="s">
        <v>2873</v>
      </c>
      <c r="C359" s="2976">
        <v>0.1</v>
      </c>
      <c r="D359" s="2976">
        <v>0.1</v>
      </c>
      <c r="E359" s="2976">
        <v>0.1</v>
      </c>
      <c r="F359" s="2976">
        <v>0.1</v>
      </c>
      <c r="G359" s="2977">
        <v>0.1</v>
      </c>
    </row>
    <row r="360" spans="1:7">
      <c r="A360" s="2986" t="s">
        <v>2853</v>
      </c>
      <c r="B360" s="2975" t="s">
        <v>2879</v>
      </c>
      <c r="C360" s="2976">
        <v>0.15</v>
      </c>
      <c r="D360" s="2976">
        <v>0.15</v>
      </c>
      <c r="E360" s="2976">
        <v>0.15</v>
      </c>
      <c r="F360" s="2976">
        <v>0.14899999999999999</v>
      </c>
      <c r="G360" s="2977">
        <v>0.15</v>
      </c>
    </row>
    <row r="361" spans="1:7">
      <c r="A361" s="2986" t="s">
        <v>2853</v>
      </c>
      <c r="B361" s="2975" t="s">
        <v>153</v>
      </c>
      <c r="C361" s="2976">
        <v>0.15</v>
      </c>
      <c r="D361" s="2976">
        <v>0.15</v>
      </c>
      <c r="E361" s="2976">
        <v>0.15</v>
      </c>
      <c r="F361" s="2976">
        <v>0.115</v>
      </c>
      <c r="G361" s="2977">
        <v>0.15</v>
      </c>
    </row>
    <row r="362" spans="1:7">
      <c r="A362" s="2986" t="s">
        <v>2853</v>
      </c>
      <c r="B362" s="2975" t="s">
        <v>2886</v>
      </c>
      <c r="C362" s="2976">
        <v>0.15</v>
      </c>
      <c r="D362" s="2976">
        <v>0.15</v>
      </c>
      <c r="E362" s="2976">
        <v>0.15</v>
      </c>
      <c r="F362" s="2976">
        <v>0.106</v>
      </c>
      <c r="G362" s="2977">
        <v>0.15</v>
      </c>
    </row>
    <row r="363" spans="1:7">
      <c r="A363" s="2986" t="s">
        <v>2853</v>
      </c>
      <c r="B363" s="2975" t="s">
        <v>2891</v>
      </c>
      <c r="C363" s="2976">
        <v>0.15</v>
      </c>
      <c r="D363" s="2976">
        <v>0.15</v>
      </c>
      <c r="E363" s="2976">
        <v>0.15</v>
      </c>
      <c r="F363" s="2976">
        <v>0.14699999999999999</v>
      </c>
      <c r="G363" s="2977">
        <v>0.15</v>
      </c>
    </row>
    <row r="364" spans="1:7">
      <c r="A364" s="2986" t="s">
        <v>2853</v>
      </c>
      <c r="B364" s="2975" t="s">
        <v>2895</v>
      </c>
      <c r="C364" s="2976">
        <v>0.15</v>
      </c>
      <c r="D364" s="2976">
        <v>0.15</v>
      </c>
      <c r="E364" s="2976">
        <v>0.15</v>
      </c>
      <c r="F364" s="2976">
        <v>0.14799999999999999</v>
      </c>
      <c r="G364" s="2977">
        <v>0.15</v>
      </c>
    </row>
    <row r="365" spans="1:7">
      <c r="A365" s="2986" t="s">
        <v>2853</v>
      </c>
      <c r="B365" s="2975" t="s">
        <v>200</v>
      </c>
      <c r="C365" s="2976">
        <v>0.15</v>
      </c>
      <c r="D365" s="2976">
        <v>0.15</v>
      </c>
      <c r="E365" s="2976">
        <v>0.15</v>
      </c>
      <c r="F365" s="2976">
        <v>0.15</v>
      </c>
      <c r="G365" s="2977">
        <v>0.15</v>
      </c>
    </row>
    <row r="366" spans="1:7">
      <c r="A366" s="2986" t="s">
        <v>2853</v>
      </c>
      <c r="B366" s="2975" t="s">
        <v>2898</v>
      </c>
      <c r="C366" s="2976">
        <v>0.15</v>
      </c>
      <c r="D366" s="2976">
        <v>0.15</v>
      </c>
      <c r="E366" s="2976">
        <v>0.15</v>
      </c>
      <c r="F366" s="2976">
        <v>0.15</v>
      </c>
      <c r="G366" s="2977">
        <v>0.15</v>
      </c>
    </row>
    <row r="367" spans="1:7">
      <c r="A367" s="2986" t="s">
        <v>2853</v>
      </c>
      <c r="B367" s="2975" t="s">
        <v>2901</v>
      </c>
      <c r="C367" s="2976">
        <v>0.15</v>
      </c>
      <c r="D367" s="2976">
        <v>0.15</v>
      </c>
      <c r="E367" s="2976">
        <v>0.15</v>
      </c>
      <c r="F367" s="2976">
        <v>0.14699999999999999</v>
      </c>
      <c r="G367" s="2977">
        <v>0.15</v>
      </c>
    </row>
    <row r="368" spans="1:7">
      <c r="A368" s="2986" t="s">
        <v>2853</v>
      </c>
      <c r="B368" s="2975" t="s">
        <v>2906</v>
      </c>
      <c r="C368" s="2976">
        <v>0.15</v>
      </c>
      <c r="D368" s="2976">
        <v>0.15</v>
      </c>
      <c r="E368" s="2976">
        <v>0.15</v>
      </c>
      <c r="F368" s="2976">
        <v>0.13600000000000001</v>
      </c>
      <c r="G368" s="2977">
        <v>0.15</v>
      </c>
    </row>
    <row r="369" spans="1:7">
      <c r="A369" s="2986" t="s">
        <v>2853</v>
      </c>
      <c r="B369" s="2975" t="s">
        <v>214</v>
      </c>
      <c r="C369" s="2976">
        <v>0.15</v>
      </c>
      <c r="D369" s="2976">
        <v>0.15</v>
      </c>
      <c r="E369" s="2976">
        <v>0.15</v>
      </c>
      <c r="F369" s="2976">
        <v>0.14399999999999999</v>
      </c>
      <c r="G369" s="2977">
        <v>0.15</v>
      </c>
    </row>
    <row r="370" spans="1:7">
      <c r="A370" s="2986" t="s">
        <v>2853</v>
      </c>
      <c r="B370" s="2975" t="s">
        <v>221</v>
      </c>
      <c r="C370" s="2976">
        <v>0.15</v>
      </c>
      <c r="D370" s="2976">
        <v>0.15</v>
      </c>
      <c r="E370" s="2976">
        <v>0.15</v>
      </c>
      <c r="F370" s="2976">
        <v>0.14599999999999999</v>
      </c>
      <c r="G370" s="2977">
        <v>0.15</v>
      </c>
    </row>
    <row r="371" spans="1:7">
      <c r="A371" s="2986" t="s">
        <v>2853</v>
      </c>
      <c r="B371" s="2975" t="s">
        <v>229</v>
      </c>
      <c r="C371" s="2976">
        <v>0.15</v>
      </c>
      <c r="D371" s="2976">
        <v>0.15</v>
      </c>
      <c r="E371" s="2976">
        <v>0.15</v>
      </c>
      <c r="F371" s="2976">
        <v>0.12</v>
      </c>
      <c r="G371" s="2977">
        <v>0.15</v>
      </c>
    </row>
    <row r="372" spans="1:7">
      <c r="A372" s="2986" t="s">
        <v>2853</v>
      </c>
      <c r="B372" s="2975" t="s">
        <v>2914</v>
      </c>
      <c r="C372" s="2976">
        <v>0.15</v>
      </c>
      <c r="D372" s="2976">
        <v>0.15</v>
      </c>
      <c r="E372" s="2976">
        <v>0.15</v>
      </c>
      <c r="F372" s="2976">
        <v>0.14299999999999999</v>
      </c>
      <c r="G372" s="2977">
        <v>0.15</v>
      </c>
    </row>
    <row r="373" spans="1:7">
      <c r="A373" s="2986" t="s">
        <v>2853</v>
      </c>
      <c r="B373" s="2975" t="s">
        <v>258</v>
      </c>
      <c r="C373" s="2976">
        <v>0.15</v>
      </c>
      <c r="D373" s="2976">
        <v>0.15</v>
      </c>
      <c r="E373" s="2976">
        <v>0.15</v>
      </c>
      <c r="F373" s="2976">
        <v>0.14599999999999999</v>
      </c>
      <c r="G373" s="2977">
        <v>0.15</v>
      </c>
    </row>
    <row r="374" spans="1:7">
      <c r="A374" s="2986" t="s">
        <v>2853</v>
      </c>
      <c r="B374" s="2975" t="s">
        <v>266</v>
      </c>
      <c r="C374" s="2976">
        <v>0.15</v>
      </c>
      <c r="D374" s="2976">
        <v>0.15</v>
      </c>
      <c r="E374" s="2976">
        <v>0.15</v>
      </c>
      <c r="F374" s="2976">
        <v>0.14399999999999999</v>
      </c>
      <c r="G374" s="2977">
        <v>0.15</v>
      </c>
    </row>
    <row r="375" spans="1:7">
      <c r="A375" s="2986" t="s">
        <v>2853</v>
      </c>
      <c r="B375" s="2975" t="s">
        <v>2922</v>
      </c>
      <c r="C375" s="2976">
        <v>0.15</v>
      </c>
      <c r="D375" s="2976">
        <v>0.15</v>
      </c>
      <c r="E375" s="2976">
        <v>0.15</v>
      </c>
      <c r="F375" s="2976">
        <v>0.13</v>
      </c>
      <c r="G375" s="2977">
        <v>0.15</v>
      </c>
    </row>
    <row r="376" spans="1:7">
      <c r="A376" s="2986" t="s">
        <v>2853</v>
      </c>
      <c r="B376" s="2975" t="s">
        <v>277</v>
      </c>
      <c r="C376" s="2976">
        <v>0.15</v>
      </c>
      <c r="D376" s="2976">
        <v>0.15</v>
      </c>
      <c r="E376" s="2976">
        <v>0.15</v>
      </c>
      <c r="F376" s="2976">
        <v>0.14199999999999999</v>
      </c>
      <c r="G376" s="2977">
        <v>0.15</v>
      </c>
    </row>
    <row r="377" spans="1:7" ht="14.25" thickBot="1">
      <c r="A377" s="2989" t="s">
        <v>2853</v>
      </c>
      <c r="B377" s="2979" t="s">
        <v>2928</v>
      </c>
      <c r="C377" s="2980">
        <v>0.15</v>
      </c>
      <c r="D377" s="2980">
        <v>0.15</v>
      </c>
      <c r="E377" s="2980">
        <v>0.15</v>
      </c>
      <c r="F377" s="2980">
        <v>0.14000000000000001</v>
      </c>
      <c r="G377" s="2982">
        <v>0.15</v>
      </c>
    </row>
    <row r="378" spans="1:7">
      <c r="A378" s="2985" t="s">
        <v>2854</v>
      </c>
      <c r="B378" s="2971" t="s">
        <v>2868</v>
      </c>
      <c r="C378" s="2972">
        <v>0.15</v>
      </c>
      <c r="D378" s="2972">
        <v>0.15</v>
      </c>
      <c r="E378" s="2972">
        <v>0.15</v>
      </c>
      <c r="F378" s="2972">
        <v>0.107</v>
      </c>
      <c r="G378" s="2973">
        <v>0.15</v>
      </c>
    </row>
    <row r="379" spans="1:7">
      <c r="A379" s="2986" t="s">
        <v>2854</v>
      </c>
      <c r="B379" s="2975" t="s">
        <v>2874</v>
      </c>
      <c r="C379" s="2976">
        <v>0.15</v>
      </c>
      <c r="D379" s="2976">
        <v>0.15</v>
      </c>
      <c r="E379" s="2976">
        <v>0.15</v>
      </c>
      <c r="F379" s="2976">
        <v>0.115</v>
      </c>
      <c r="G379" s="2977">
        <v>0.14899999999999999</v>
      </c>
    </row>
    <row r="380" spans="1:7">
      <c r="A380" s="2986" t="s">
        <v>2854</v>
      </c>
      <c r="B380" s="2975" t="s">
        <v>2880</v>
      </c>
      <c r="C380" s="2976">
        <v>0.15</v>
      </c>
      <c r="D380" s="2976">
        <v>0.15</v>
      </c>
      <c r="E380" s="2976">
        <v>0.15</v>
      </c>
      <c r="F380" s="2976">
        <v>0.1</v>
      </c>
      <c r="G380" s="2977">
        <v>0.14799999999999999</v>
      </c>
    </row>
    <row r="381" spans="1:7">
      <c r="A381" s="2986" t="s">
        <v>2854</v>
      </c>
      <c r="B381" s="2975" t="s">
        <v>2883</v>
      </c>
      <c r="C381" s="2976">
        <v>0.15</v>
      </c>
      <c r="D381" s="2976">
        <v>0.15</v>
      </c>
      <c r="E381" s="2976">
        <v>0.15</v>
      </c>
      <c r="F381" s="2976">
        <v>0.126</v>
      </c>
      <c r="G381" s="2977">
        <v>0.15</v>
      </c>
    </row>
    <row r="382" spans="1:7">
      <c r="A382" s="2986" t="s">
        <v>2854</v>
      </c>
      <c r="B382" s="2975" t="s">
        <v>2887</v>
      </c>
      <c r="C382" s="2976">
        <v>0.15</v>
      </c>
      <c r="D382" s="2976">
        <v>0.15</v>
      </c>
      <c r="E382" s="2976">
        <v>0.15</v>
      </c>
      <c r="F382" s="2976">
        <v>0.15</v>
      </c>
      <c r="G382" s="2977">
        <v>0.15</v>
      </c>
    </row>
    <row r="383" spans="1:7">
      <c r="A383" s="2986" t="s">
        <v>2854</v>
      </c>
      <c r="B383" s="2975" t="s">
        <v>2892</v>
      </c>
      <c r="C383" s="2976">
        <v>0.15</v>
      </c>
      <c r="D383" s="2976">
        <v>0.15</v>
      </c>
      <c r="E383" s="2976">
        <v>0.15</v>
      </c>
      <c r="F383" s="2976">
        <v>0.14699999999999999</v>
      </c>
      <c r="G383" s="2977">
        <v>0.15</v>
      </c>
    </row>
    <row r="384" spans="1:7" ht="14.25" thickBot="1">
      <c r="A384" s="2996" t="s">
        <v>2854</v>
      </c>
      <c r="B384" s="2997" t="s">
        <v>2896</v>
      </c>
      <c r="C384" s="2998">
        <v>0.15</v>
      </c>
      <c r="D384" s="2998">
        <v>0.15</v>
      </c>
      <c r="E384" s="2998">
        <v>0.15</v>
      </c>
      <c r="F384" s="2998">
        <v>0.15</v>
      </c>
      <c r="G384" s="2999">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1"/>
  </cols>
  <sheetData>
    <row r="1" spans="1:6">
      <c r="A1" s="3496" t="s">
        <v>3235</v>
      </c>
      <c r="B1" s="3496"/>
      <c r="C1" s="3496"/>
      <c r="D1" s="3496"/>
      <c r="E1" s="3496"/>
      <c r="F1" s="3497"/>
    </row>
    <row r="2" spans="1:6">
      <c r="A2" s="3000" t="s">
        <v>3236</v>
      </c>
    </row>
    <row r="3" spans="1:6">
      <c r="A3" s="3000" t="s">
        <v>3237</v>
      </c>
      <c r="F3" s="3001" t="s">
        <v>3238</v>
      </c>
    </row>
    <row r="4" spans="1:6">
      <c r="A4" s="3002" t="s">
        <v>672</v>
      </c>
      <c r="B4" s="3002" t="s">
        <v>673</v>
      </c>
      <c r="C4" s="3002" t="s">
        <v>21</v>
      </c>
      <c r="D4" s="3002" t="s">
        <v>674</v>
      </c>
      <c r="E4" s="3002" t="s">
        <v>3</v>
      </c>
      <c r="F4" s="3002" t="s">
        <v>3239</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E1" sqref="E1:E1048576"/>
    </sheetView>
  </sheetViews>
  <sheetFormatPr defaultRowHeight="13.5"/>
  <cols>
    <col min="1" max="1" width="13.875" customWidth="1"/>
    <col min="11" max="17" width="0" hidden="1" customWidth="1"/>
    <col min="25" max="30" width="0" hidden="1" customWidth="1"/>
  </cols>
  <sheetData>
    <row r="1" spans="1:30">
      <c r="A1" s="2935">
        <f>基准地价修正!G23</f>
        <v>45247</v>
      </c>
      <c r="B1" s="2927" t="s">
        <v>3374</v>
      </c>
      <c r="C1" s="2928"/>
      <c r="D1" s="2928"/>
      <c r="E1" s="2928"/>
      <c r="F1" s="2928"/>
      <c r="G1" s="2928"/>
      <c r="H1" s="2928"/>
      <c r="I1" s="2928"/>
      <c r="J1" s="2894"/>
      <c r="K1" s="2928" t="s">
        <v>454</v>
      </c>
      <c r="L1" s="2928"/>
      <c r="M1" s="2928"/>
      <c r="N1" s="2928"/>
      <c r="O1" s="2928"/>
      <c r="P1" s="2928"/>
      <c r="Q1" s="2894"/>
      <c r="R1" s="3498" t="s">
        <v>456</v>
      </c>
      <c r="S1" s="3499"/>
      <c r="T1" s="3499"/>
      <c r="U1" s="3499"/>
      <c r="V1" s="3499"/>
      <c r="W1" s="3499"/>
      <c r="X1" s="2894"/>
      <c r="Y1" s="3498" t="s">
        <v>457</v>
      </c>
      <c r="Z1" s="3499"/>
      <c r="AA1" s="3499"/>
      <c r="AB1" s="3499"/>
      <c r="AC1" s="3499"/>
      <c r="AD1" s="3499"/>
    </row>
    <row r="2" spans="1:30" s="2009" customFormat="1" ht="14.25" thickBot="1">
      <c r="B2" s="2879"/>
      <c r="C2" s="2880"/>
      <c r="D2" s="2010" t="s">
        <v>2813</v>
      </c>
      <c r="E2" s="2011" t="s">
        <v>2814</v>
      </c>
      <c r="F2" s="2011" t="s">
        <v>2815</v>
      </c>
      <c r="G2" s="2011" t="s">
        <v>2816</v>
      </c>
      <c r="H2" s="2011" t="s">
        <v>2817</v>
      </c>
      <c r="I2" s="2011" t="s">
        <v>2634</v>
      </c>
      <c r="J2" s="2881"/>
      <c r="K2" s="2010" t="s">
        <v>2813</v>
      </c>
      <c r="L2" s="2011" t="s">
        <v>2814</v>
      </c>
      <c r="M2" s="2011" t="s">
        <v>2815</v>
      </c>
      <c r="N2" s="2011" t="s">
        <v>2816</v>
      </c>
      <c r="O2" s="2011" t="s">
        <v>2818</v>
      </c>
      <c r="P2" s="2011" t="s">
        <v>2634</v>
      </c>
      <c r="Q2" s="2881"/>
      <c r="R2" s="2010" t="s">
        <v>2813</v>
      </c>
      <c r="S2" s="2011" t="s">
        <v>2814</v>
      </c>
      <c r="T2" s="2011" t="s">
        <v>2815</v>
      </c>
      <c r="U2" s="2011" t="s">
        <v>2819</v>
      </c>
      <c r="V2" s="2011" t="s">
        <v>2820</v>
      </c>
      <c r="W2" s="2011" t="s">
        <v>2634</v>
      </c>
      <c r="X2" s="2881"/>
      <c r="Y2" s="2010" t="s">
        <v>2813</v>
      </c>
      <c r="Z2" s="2011" t="s">
        <v>2814</v>
      </c>
      <c r="AA2" s="2011" t="s">
        <v>2815</v>
      </c>
      <c r="AB2" s="2011" t="s">
        <v>2821</v>
      </c>
      <c r="AC2" s="2011" t="s">
        <v>2820</v>
      </c>
      <c r="AD2" s="2011" t="s">
        <v>2634</v>
      </c>
    </row>
    <row r="3" spans="1:30" s="2884" customFormat="1" ht="12.75">
      <c r="A3" s="2882" t="s">
        <v>2822</v>
      </c>
      <c r="B3" s="2883"/>
      <c r="D3" s="2884">
        <f>ROUND(AVERAGEIF(D4:D18,"&lt;&gt;0"),2)</f>
        <v>0.78</v>
      </c>
      <c r="E3" s="2884">
        <f t="shared" ref="E3:H3" si="0">ROUND(AVERAGEIF(E4:E18,"&lt;&gt;0"),2)</f>
        <v>0.41</v>
      </c>
      <c r="F3" s="2884">
        <f t="shared" si="0"/>
        <v>0.23</v>
      </c>
      <c r="G3" s="2884">
        <f t="shared" si="0"/>
        <v>0.84</v>
      </c>
      <c r="H3" s="2884">
        <f t="shared" si="0"/>
        <v>0.63</v>
      </c>
      <c r="I3" s="2884">
        <f>F3</f>
        <v>0.23</v>
      </c>
      <c r="J3" s="2885"/>
      <c r="K3" s="2886">
        <f>ROUND(AVERAGEIF(K4:K18,"&lt;&gt;0"),4)</f>
        <v>7.7999999999999996E-3</v>
      </c>
      <c r="L3" s="2887">
        <f t="shared" ref="L3:O3" si="1">ROUND(AVERAGEIF(L4:L18,"&lt;&gt;0"),4)</f>
        <v>4.1000000000000003E-3</v>
      </c>
      <c r="M3" s="2887">
        <f t="shared" si="1"/>
        <v>2.3E-3</v>
      </c>
      <c r="N3" s="2887">
        <f t="shared" si="1"/>
        <v>8.3999999999999995E-3</v>
      </c>
      <c r="O3" s="2887">
        <f t="shared" si="1"/>
        <v>6.3E-3</v>
      </c>
      <c r="P3" s="2887">
        <f>M3</f>
        <v>2.3E-3</v>
      </c>
      <c r="Q3" s="2885"/>
      <c r="R3" s="2888">
        <f>ROUND(SUMPRODUCT(PRODUCT(1+K4:K18)),4)</f>
        <v>1.0888</v>
      </c>
      <c r="S3" s="2889">
        <f t="shared" ref="S3:V3" si="2">ROUND(SUMPRODUCT(PRODUCT(1+L4:L18)),4)</f>
        <v>1.0463</v>
      </c>
      <c r="T3" s="2889">
        <f t="shared" si="2"/>
        <v>1.0257000000000001</v>
      </c>
      <c r="U3" s="2889">
        <f t="shared" si="2"/>
        <v>1.0961000000000001</v>
      </c>
      <c r="V3" s="2889">
        <f t="shared" si="2"/>
        <v>1.0713999999999999</v>
      </c>
      <c r="W3" s="2888">
        <f>T3</f>
        <v>1.0257000000000001</v>
      </c>
      <c r="X3" s="2885"/>
      <c r="Y3" s="2890">
        <f>ROUND(AVERAGEIF(Y5:Y18,"&lt;&gt;0"),4)</f>
        <v>8.6999999999999994E-3</v>
      </c>
      <c r="Z3" s="2891">
        <f t="shared" ref="Z3:AC3" si="3">ROUND(AVERAGEIF(Z5:Z18,"&lt;&gt;0"),4)</f>
        <v>3.5000000000000001E-3</v>
      </c>
      <c r="AA3" s="2892">
        <f t="shared" si="3"/>
        <v>8.9999999999999998E-4</v>
      </c>
      <c r="AB3" s="2890">
        <f t="shared" si="3"/>
        <v>9.4999999999999998E-3</v>
      </c>
      <c r="AC3" s="2893">
        <f t="shared" si="3"/>
        <v>6.1000000000000004E-3</v>
      </c>
      <c r="AD3" s="2890">
        <f>AA3</f>
        <v>8.9999999999999998E-4</v>
      </c>
    </row>
    <row r="4" spans="1:30" s="2008" customFormat="1" ht="12.75">
      <c r="B4" s="2024"/>
      <c r="J4" s="2894"/>
      <c r="K4" s="2895"/>
      <c r="L4" s="2896"/>
      <c r="M4" s="2896"/>
      <c r="N4" s="2896"/>
      <c r="O4" s="2896"/>
      <c r="P4" s="2896"/>
      <c r="Q4" s="2894"/>
      <c r="R4" s="2026"/>
      <c r="S4" s="2897"/>
      <c r="T4" s="2898"/>
      <c r="U4" s="2026"/>
      <c r="V4" s="2899"/>
      <c r="W4" s="2026"/>
      <c r="X4" s="2894"/>
      <c r="Y4" s="2027"/>
      <c r="Z4" s="2900"/>
      <c r="AA4" s="2901"/>
      <c r="AB4" s="2027"/>
      <c r="AC4" s="2902"/>
      <c r="AD4" s="2027"/>
    </row>
    <row r="5" spans="1:30" s="2044" customFormat="1" ht="12.75">
      <c r="A5" s="2039" t="s">
        <v>3378</v>
      </c>
      <c r="B5" s="2030">
        <v>2023</v>
      </c>
      <c r="C5" s="2041">
        <v>4</v>
      </c>
      <c r="D5" s="2006">
        <v>0</v>
      </c>
      <c r="E5" s="2006">
        <v>0</v>
      </c>
      <c r="F5" s="2006">
        <v>0</v>
      </c>
      <c r="G5" s="2006">
        <v>0</v>
      </c>
      <c r="H5" s="2006">
        <v>0</v>
      </c>
      <c r="I5" s="2007">
        <f t="shared" ref="I5:I18" si="4">F5</f>
        <v>0</v>
      </c>
      <c r="J5" s="2904"/>
      <c r="K5" s="2042">
        <f t="shared" ref="K5:O18" si="5">D5/100</f>
        <v>0</v>
      </c>
      <c r="L5" s="2027">
        <f t="shared" si="5"/>
        <v>0</v>
      </c>
      <c r="M5" s="2027">
        <f t="shared" si="5"/>
        <v>0</v>
      </c>
      <c r="N5" s="2027">
        <f t="shared" si="5"/>
        <v>0</v>
      </c>
      <c r="O5" s="2027">
        <f t="shared" si="5"/>
        <v>0</v>
      </c>
      <c r="P5" s="2027">
        <f>M5</f>
        <v>0</v>
      </c>
      <c r="Q5" s="2904"/>
      <c r="R5" s="2026">
        <f>ROUND(IF(项目基本情况!$B$8="出让",SUMPRODUCT(PRODUCT(1+K5:$K$18)),SUMPRODUCT(PRODUCT(1+K5:$K$17))),4)</f>
        <v>1.0783</v>
      </c>
      <c r="S5" s="2026">
        <f>ROUND(IF(项目基本情况!$B$8="出让",SUMPRODUCT(PRODUCT(1+L5:$L$18)),SUMPRODUCT(PRODUCT(1+L5:$L$17))),4)</f>
        <v>1.0447</v>
      </c>
      <c r="T5" s="2026">
        <f>ROUND(IF(项目基本情况!$B$8="出让",SUMPRODUCT(PRODUCT(1+M5:$M$18)),SUMPRODUCT(PRODUCT(1+M5:$M$17))),4)</f>
        <v>1.0282</v>
      </c>
      <c r="U5" s="2026">
        <f>ROUND(IF(项目基本情况!$B$8="出让",SUMPRODUCT(PRODUCT(1+N5:$N$18)),SUMPRODUCT(PRODUCT(1+N5:$N$17))),4)</f>
        <v>1.0841000000000001</v>
      </c>
      <c r="V5" s="2026">
        <f>ROUND(IF(项目基本情况!$B$8="出让",SUMPRODUCT(PRODUCT(1+O5:$O$18)),SUMPRODUCT(PRODUCT(1+O5:$O$17))),4)</f>
        <v>1.0674999999999999</v>
      </c>
      <c r="W5" s="2026">
        <f>T5</f>
        <v>1.0282</v>
      </c>
      <c r="X5" s="2904"/>
      <c r="Y5" s="2027">
        <f>IF(D5=0,0,ROUND(AVERAGE(D5:D18)/100,4))</f>
        <v>0</v>
      </c>
      <c r="Z5" s="2027">
        <f t="shared" ref="Z5:AC5" si="6">IF(E5=0,0,ROUND(AVERAGE(E5:E18)/100,4))</f>
        <v>0</v>
      </c>
      <c r="AA5" s="2027">
        <f t="shared" si="6"/>
        <v>0</v>
      </c>
      <c r="AB5" s="2027">
        <f t="shared" si="6"/>
        <v>0</v>
      </c>
      <c r="AC5" s="2027">
        <f t="shared" si="6"/>
        <v>0</v>
      </c>
      <c r="AD5" s="2027">
        <f t="shared" ref="AD5:AD17" si="7">AA5</f>
        <v>0</v>
      </c>
    </row>
    <row r="6" spans="1:30" s="2044" customFormat="1" ht="12.75">
      <c r="A6" s="2039" t="s">
        <v>3379</v>
      </c>
      <c r="B6" s="2030">
        <v>2023</v>
      </c>
      <c r="C6" s="2041">
        <v>3</v>
      </c>
      <c r="D6" s="2006">
        <v>0</v>
      </c>
      <c r="E6" s="2006">
        <v>0</v>
      </c>
      <c r="F6" s="2006">
        <v>0</v>
      </c>
      <c r="G6" s="2006">
        <v>0</v>
      </c>
      <c r="H6" s="2915">
        <v>0</v>
      </c>
      <c r="I6" s="2007">
        <v>0</v>
      </c>
      <c r="J6" s="2904"/>
      <c r="K6" s="2042">
        <f t="shared" ref="K6" si="8">D6/100</f>
        <v>0</v>
      </c>
      <c r="L6" s="2027">
        <f t="shared" ref="L6" si="9">E6/100</f>
        <v>0</v>
      </c>
      <c r="M6" s="2027">
        <f t="shared" ref="M6" si="10">F6/100</f>
        <v>0</v>
      </c>
      <c r="N6" s="2027">
        <f t="shared" ref="N6" si="11">G6/100</f>
        <v>0</v>
      </c>
      <c r="O6" s="2027">
        <f t="shared" ref="O6" si="12">H6/100</f>
        <v>0</v>
      </c>
      <c r="P6" s="2027">
        <f t="shared" ref="P6" si="13">M6</f>
        <v>0</v>
      </c>
      <c r="Q6" s="2904"/>
      <c r="R6" s="2026">
        <f>ROUND(IF(项目基本情况!$B$8="出让",SUMPRODUCT(PRODUCT(1+K6:$K$18)),SUMPRODUCT(PRODUCT(1+K6:$K$17))),4)</f>
        <v>1.0783</v>
      </c>
      <c r="S6" s="2026">
        <f>ROUND(IF(项目基本情况!$B$8="出让",SUMPRODUCT(PRODUCT(1+L6:$L$18)),SUMPRODUCT(PRODUCT(1+L6:$L$17))),4)</f>
        <v>1.0447</v>
      </c>
      <c r="T6" s="2026">
        <f>ROUND(IF(项目基本情况!$B$8="出让",SUMPRODUCT(PRODUCT(1+M6:$M$18)),SUMPRODUCT(PRODUCT(1+M6:$M$17))),4)</f>
        <v>1.0282</v>
      </c>
      <c r="U6" s="2026">
        <f>ROUND(IF(项目基本情况!$B$8="出让",SUMPRODUCT(PRODUCT(1+N6:$N$18)),SUMPRODUCT(PRODUCT(1+N6:$N$17))),4)</f>
        <v>1.0841000000000001</v>
      </c>
      <c r="V6" s="2026">
        <f>ROUND(IF(项目基本情况!$B$8="出让",SUMPRODUCT(PRODUCT(1+O6:$O$18)),SUMPRODUCT(PRODUCT(1+O6:$O$17))),4)</f>
        <v>1.0674999999999999</v>
      </c>
      <c r="W6" s="2026">
        <f t="shared" ref="W6" si="14">T6</f>
        <v>1.0282</v>
      </c>
      <c r="X6" s="2904"/>
      <c r="Y6" s="2027"/>
      <c r="Z6" s="2027"/>
      <c r="AA6" s="2027"/>
      <c r="AB6" s="2027"/>
      <c r="AC6" s="2027"/>
      <c r="AD6" s="2027"/>
    </row>
    <row r="7" spans="1:30" s="2044" customFormat="1" ht="12.75">
      <c r="A7" s="2039" t="s">
        <v>3380</v>
      </c>
      <c r="B7" s="2030">
        <v>2023</v>
      </c>
      <c r="C7" s="2041">
        <v>3</v>
      </c>
      <c r="D7" s="2006">
        <v>0</v>
      </c>
      <c r="E7" s="2006">
        <v>0</v>
      </c>
      <c r="F7" s="2006">
        <v>0</v>
      </c>
      <c r="G7" s="2006">
        <v>0</v>
      </c>
      <c r="H7" s="2915">
        <v>0</v>
      </c>
      <c r="I7" s="2007">
        <v>0</v>
      </c>
      <c r="J7" s="2904"/>
      <c r="K7" s="2042">
        <f t="shared" si="5"/>
        <v>0</v>
      </c>
      <c r="L7" s="2027">
        <f t="shared" si="5"/>
        <v>0</v>
      </c>
      <c r="M7" s="2027">
        <f t="shared" si="5"/>
        <v>0</v>
      </c>
      <c r="N7" s="2027">
        <f t="shared" si="5"/>
        <v>0</v>
      </c>
      <c r="O7" s="2027">
        <f t="shared" si="5"/>
        <v>0</v>
      </c>
      <c r="P7" s="2027">
        <f t="shared" ref="P7" si="15">M7</f>
        <v>0</v>
      </c>
      <c r="Q7" s="2904"/>
      <c r="R7" s="2026">
        <f>ROUND(IF(项目基本情况!$B$8="出让",SUMPRODUCT(PRODUCT(1+K7:$K$18)),SUMPRODUCT(PRODUCT(1+K7:$K$17))),4)</f>
        <v>1.0783</v>
      </c>
      <c r="S7" s="2026">
        <f>ROUND(IF(项目基本情况!$B$8="出让",SUMPRODUCT(PRODUCT(1+L7:$L$18)),SUMPRODUCT(PRODUCT(1+L7:$L$17))),4)</f>
        <v>1.0447</v>
      </c>
      <c r="T7" s="2026">
        <f>ROUND(IF(项目基本情况!$B$8="出让",SUMPRODUCT(PRODUCT(1+M7:$M$18)),SUMPRODUCT(PRODUCT(1+M7:$M$17))),4)</f>
        <v>1.0282</v>
      </c>
      <c r="U7" s="2026">
        <f>ROUND(IF(项目基本情况!$B$8="出让",SUMPRODUCT(PRODUCT(1+N7:$N$18)),SUMPRODUCT(PRODUCT(1+N7:$N$17))),4)</f>
        <v>1.0841000000000001</v>
      </c>
      <c r="V7" s="2026">
        <f>ROUND(IF(项目基本情况!$B$8="出让",SUMPRODUCT(PRODUCT(1+O7:$O$18)),SUMPRODUCT(PRODUCT(1+O7:$O$17))),4)</f>
        <v>1.0674999999999999</v>
      </c>
      <c r="W7" s="2026">
        <f t="shared" ref="W7" si="16">T7</f>
        <v>1.0282</v>
      </c>
      <c r="X7" s="2904"/>
      <c r="Y7" s="2027"/>
      <c r="Z7" s="2027"/>
      <c r="AA7" s="2027"/>
      <c r="AB7" s="2027"/>
      <c r="AC7" s="2027"/>
      <c r="AD7" s="2027"/>
    </row>
    <row r="8" spans="1:30" s="2914" customFormat="1" ht="12.75">
      <c r="A8" s="2905" t="s">
        <v>3372</v>
      </c>
      <c r="B8" s="2906">
        <v>2023</v>
      </c>
      <c r="C8" s="2907">
        <v>3</v>
      </c>
      <c r="D8" s="2908">
        <v>0.25</v>
      </c>
      <c r="E8" s="2908">
        <v>0.5</v>
      </c>
      <c r="F8" s="2908">
        <v>0.31</v>
      </c>
      <c r="G8" s="2908">
        <v>0.21</v>
      </c>
      <c r="H8" s="2909">
        <v>0.43</v>
      </c>
      <c r="I8" s="2910">
        <f t="shared" si="4"/>
        <v>0.31</v>
      </c>
      <c r="J8" s="2911"/>
      <c r="K8" s="2912">
        <f t="shared" ref="K8:K10" si="17">D8/100</f>
        <v>2.5000000000000001E-3</v>
      </c>
      <c r="L8" s="2913">
        <f t="shared" ref="L8:L10" si="18">E8/100</f>
        <v>5.0000000000000001E-3</v>
      </c>
      <c r="M8" s="2913">
        <f t="shared" ref="M8:M10" si="19">F8/100</f>
        <v>3.0999999999999999E-3</v>
      </c>
      <c r="N8" s="2913">
        <f t="shared" ref="N8:N10" si="20">G8/100</f>
        <v>2.0999999999999999E-3</v>
      </c>
      <c r="O8" s="2913">
        <f t="shared" ref="O8:O10" si="21">H8/100</f>
        <v>4.3E-3</v>
      </c>
      <c r="P8" s="2913">
        <f t="shared" ref="P8:P10" si="22">M8</f>
        <v>3.0999999999999999E-3</v>
      </c>
      <c r="Q8" s="2911"/>
      <c r="R8" s="2911">
        <f>ROUND(IF(项目基本情况!$B$8="出让",SUMPRODUCT(PRODUCT(1+K8:$K$18)),SUMPRODUCT(PRODUCT(1+K8:$K$17))),4)</f>
        <v>1.0783</v>
      </c>
      <c r="S8" s="2911">
        <f>ROUND(IF(项目基本情况!$B$8="出让",SUMPRODUCT(PRODUCT(1+L8:$L$18)),SUMPRODUCT(PRODUCT(1+L8:$L$17))),4)</f>
        <v>1.0447</v>
      </c>
      <c r="T8" s="2911">
        <f>ROUND(IF(项目基本情况!$B$8="出让",SUMPRODUCT(PRODUCT(1+M8:$M$18)),SUMPRODUCT(PRODUCT(1+M8:$M$17))),4)</f>
        <v>1.0282</v>
      </c>
      <c r="U8" s="2911">
        <f>ROUND(IF(项目基本情况!$B$8="出让",SUMPRODUCT(PRODUCT(1+N8:$N$18)),SUMPRODUCT(PRODUCT(1+N8:$N$17))),4)</f>
        <v>1.0841000000000001</v>
      </c>
      <c r="V8" s="2911">
        <f>ROUND(IF(项目基本情况!$B$8="出让",SUMPRODUCT(PRODUCT(1+O8:$O$18)),SUMPRODUCT(PRODUCT(1+O8:$O$17))),4)</f>
        <v>1.0674999999999999</v>
      </c>
      <c r="W8" s="2911">
        <f t="shared" ref="W8:W9" si="23">T8</f>
        <v>1.0282</v>
      </c>
      <c r="X8" s="2911"/>
      <c r="Y8" s="2913"/>
      <c r="Z8" s="2913"/>
      <c r="AA8" s="2913"/>
      <c r="AB8" s="2913"/>
      <c r="AC8" s="2913"/>
      <c r="AD8" s="2913"/>
    </row>
    <row r="9" spans="1:30" s="2044" customFormat="1" ht="12.75">
      <c r="A9" s="2903" t="s">
        <v>3373</v>
      </c>
      <c r="B9" s="2030">
        <v>2023</v>
      </c>
      <c r="C9" s="2041">
        <v>2</v>
      </c>
      <c r="D9" s="2006">
        <v>0.91</v>
      </c>
      <c r="E9" s="2006">
        <v>0.66</v>
      </c>
      <c r="F9" s="2006">
        <v>0.47</v>
      </c>
      <c r="G9" s="2006">
        <v>0.96</v>
      </c>
      <c r="H9" s="2915">
        <v>0.71</v>
      </c>
      <c r="I9" s="2007">
        <f t="shared" si="4"/>
        <v>0.47</v>
      </c>
      <c r="J9" s="2904"/>
      <c r="K9" s="2042">
        <f t="shared" si="17"/>
        <v>9.1000000000000004E-3</v>
      </c>
      <c r="L9" s="2027">
        <f t="shared" si="18"/>
        <v>6.6E-3</v>
      </c>
      <c r="M9" s="2027">
        <f t="shared" si="19"/>
        <v>4.6999999999999993E-3</v>
      </c>
      <c r="N9" s="2027">
        <f t="shared" si="20"/>
        <v>9.5999999999999992E-3</v>
      </c>
      <c r="O9" s="2027">
        <f t="shared" si="21"/>
        <v>7.0999999999999995E-3</v>
      </c>
      <c r="P9" s="2027">
        <f t="shared" si="22"/>
        <v>4.6999999999999993E-3</v>
      </c>
      <c r="Q9" s="2904"/>
      <c r="R9" s="2026">
        <f>ROUND(IF(项目基本情况!$B$8="出让",SUMPRODUCT(PRODUCT(1+K9:$K$18)),SUMPRODUCT(PRODUCT(1+K9:$K$17))),4)</f>
        <v>1.0755999999999999</v>
      </c>
      <c r="S9" s="2026">
        <f>ROUND(IF(项目基本情况!$B$8="出让",SUMPRODUCT(PRODUCT(1+L9:$L$18)),SUMPRODUCT(PRODUCT(1+L9:$L$17))),4)</f>
        <v>1.0395000000000001</v>
      </c>
      <c r="T9" s="2026">
        <f>ROUND(IF(项目基本情况!$B$8="出让",SUMPRODUCT(PRODUCT(1+M9:$M$18)),SUMPRODUCT(PRODUCT(1+M9:$M$17))),4)</f>
        <v>1.0250999999999999</v>
      </c>
      <c r="U9" s="2026">
        <f>ROUND(IF(项目基本情况!$B$8="出让",SUMPRODUCT(PRODUCT(1+N9:$N$18)),SUMPRODUCT(PRODUCT(1+N9:$N$17))),4)</f>
        <v>1.0818000000000001</v>
      </c>
      <c r="V9" s="2026">
        <f>ROUND(IF(项目基本情况!$B$8="出让",SUMPRODUCT(PRODUCT(1+O9:$O$18)),SUMPRODUCT(PRODUCT(1+O9:$O$17))),4)</f>
        <v>1.0629999999999999</v>
      </c>
      <c r="W9" s="2026">
        <f t="shared" si="23"/>
        <v>1.0250999999999999</v>
      </c>
      <c r="X9" s="2904"/>
      <c r="Y9" s="2027"/>
      <c r="Z9" s="2027"/>
      <c r="AA9" s="2027"/>
      <c r="AB9" s="2027"/>
      <c r="AC9" s="2027"/>
      <c r="AD9" s="2027"/>
    </row>
    <row r="10" spans="1:30" s="2044" customFormat="1" ht="12.75">
      <c r="A10" s="2903" t="s">
        <v>3371</v>
      </c>
      <c r="B10" s="2030">
        <v>2023</v>
      </c>
      <c r="C10" s="2041">
        <v>1</v>
      </c>
      <c r="D10" s="2006">
        <v>0.89</v>
      </c>
      <c r="E10" s="2006">
        <v>0.74</v>
      </c>
      <c r="F10" s="2006">
        <v>0.56999999999999995</v>
      </c>
      <c r="G10" s="2006">
        <v>0.92</v>
      </c>
      <c r="H10" s="2915">
        <v>0.5</v>
      </c>
      <c r="I10" s="2007">
        <f t="shared" si="4"/>
        <v>0.56999999999999995</v>
      </c>
      <c r="J10" s="2904"/>
      <c r="K10" s="2042">
        <f t="shared" si="17"/>
        <v>8.8999999999999999E-3</v>
      </c>
      <c r="L10" s="2027">
        <f t="shared" si="18"/>
        <v>7.4000000000000003E-3</v>
      </c>
      <c r="M10" s="2027">
        <f t="shared" si="19"/>
        <v>5.6999999999999993E-3</v>
      </c>
      <c r="N10" s="2027">
        <f t="shared" si="20"/>
        <v>9.1999999999999998E-3</v>
      </c>
      <c r="O10" s="2027">
        <f t="shared" si="21"/>
        <v>5.0000000000000001E-3</v>
      </c>
      <c r="P10" s="2027">
        <f t="shared" si="22"/>
        <v>5.6999999999999993E-3</v>
      </c>
      <c r="Q10" s="2904"/>
      <c r="R10" s="2026">
        <f>ROUND(IF(项目基本情况!$B$8="出让",SUMPRODUCT(PRODUCT(1+K10:$K$18)),SUMPRODUCT(PRODUCT(1+K10:$K$17))),4)</f>
        <v>1.0659000000000001</v>
      </c>
      <c r="S10" s="2026">
        <f>ROUND(IF(项目基本情况!$B$8="出让",SUMPRODUCT(PRODUCT(1+L10:$L$18)),SUMPRODUCT(PRODUCT(1+L10:$L$17))),4)</f>
        <v>1.0326</v>
      </c>
      <c r="T10" s="2026">
        <f>ROUND(IF(项目基本情况!$B$8="出让",SUMPRODUCT(PRODUCT(1+M10:$M$18)),SUMPRODUCT(PRODUCT(1+M10:$M$17))),4)</f>
        <v>1.0203</v>
      </c>
      <c r="U10" s="2026">
        <f>ROUND(IF(项目基本情况!$B$8="出让",SUMPRODUCT(PRODUCT(1+N10:$N$18)),SUMPRODUCT(PRODUCT(1+N10:$N$17))),4)</f>
        <v>1.0714999999999999</v>
      </c>
      <c r="V10" s="2026">
        <f>ROUND(IF(项目基本情况!$B$8="出让",SUMPRODUCT(PRODUCT(1+O10:$O$18)),SUMPRODUCT(PRODUCT(1+O10:$O$17))),4)</f>
        <v>1.0555000000000001</v>
      </c>
      <c r="W10" s="2026">
        <f t="shared" ref="W10:W17" si="24">T10</f>
        <v>1.0203</v>
      </c>
      <c r="X10" s="2904"/>
      <c r="Y10" s="2027"/>
      <c r="Z10" s="2027"/>
      <c r="AA10" s="2027"/>
      <c r="AB10" s="2027"/>
      <c r="AC10" s="2027"/>
      <c r="AD10" s="2027"/>
    </row>
    <row r="11" spans="1:30" s="2044" customFormat="1" ht="12.75">
      <c r="A11" s="2903" t="s">
        <v>3370</v>
      </c>
      <c r="B11" s="2030">
        <v>2022</v>
      </c>
      <c r="C11" s="2041">
        <v>4</v>
      </c>
      <c r="D11" s="2006">
        <v>0.62</v>
      </c>
      <c r="E11" s="2006">
        <v>0.2</v>
      </c>
      <c r="F11" s="2006">
        <v>0.11</v>
      </c>
      <c r="G11" s="2006">
        <v>0.69</v>
      </c>
      <c r="H11" s="2915">
        <v>0.53</v>
      </c>
      <c r="I11" s="2007">
        <f t="shared" si="4"/>
        <v>0.11</v>
      </c>
      <c r="J11" s="2904"/>
      <c r="K11" s="2042">
        <f t="shared" si="5"/>
        <v>6.1999999999999998E-3</v>
      </c>
      <c r="L11" s="2027">
        <f t="shared" si="5"/>
        <v>2E-3</v>
      </c>
      <c r="M11" s="2027">
        <f t="shared" si="5"/>
        <v>1.1000000000000001E-3</v>
      </c>
      <c r="N11" s="2027">
        <f t="shared" si="5"/>
        <v>6.8999999999999999E-3</v>
      </c>
      <c r="O11" s="2027">
        <f t="shared" si="5"/>
        <v>5.3E-3</v>
      </c>
      <c r="P11" s="2027">
        <f t="shared" ref="P11:P18" si="25">M11</f>
        <v>1.1000000000000001E-3</v>
      </c>
      <c r="Q11" s="2904"/>
      <c r="R11" s="2026">
        <f>ROUND(IF(项目基本情况!$B$8="出让",SUMPRODUCT(PRODUCT(1+K11:$K$18)),SUMPRODUCT(PRODUCT(1+K11:$K$17))),4)</f>
        <v>1.0565</v>
      </c>
      <c r="S11" s="2026">
        <f>ROUND(IF(项目基本情况!$B$8="出让",SUMPRODUCT(PRODUCT(1+L11:$L$18)),SUMPRODUCT(PRODUCT(1+L11:$L$17))),4)</f>
        <v>1.0250999999999999</v>
      </c>
      <c r="T11" s="2026">
        <f>ROUND(IF(项目基本情况!$B$8="出让",SUMPRODUCT(PRODUCT(1+M11:$M$18)),SUMPRODUCT(PRODUCT(1+M11:$M$17))),4)</f>
        <v>1.0145</v>
      </c>
      <c r="U11" s="2026">
        <f>ROUND(IF(项目基本情况!$B$8="出让",SUMPRODUCT(PRODUCT(1+N11:$N$18)),SUMPRODUCT(PRODUCT(1+N11:$N$17))),4)</f>
        <v>1.0618000000000001</v>
      </c>
      <c r="V11" s="2026">
        <f>ROUND(IF(项目基本情况!$B$8="出让",SUMPRODUCT(PRODUCT(1+O11:$O$18)),SUMPRODUCT(PRODUCT(1+O11:$O$17))),4)</f>
        <v>1.0502</v>
      </c>
      <c r="W11" s="2026">
        <f t="shared" si="24"/>
        <v>1.0145</v>
      </c>
      <c r="X11" s="2904"/>
      <c r="Y11" s="2027">
        <f>IF(D11=0,0,ROUND(AVERAGE(D11:D19)/100,4))</f>
        <v>8.0999999999999996E-3</v>
      </c>
      <c r="Z11" s="2027">
        <f t="shared" ref="Z11:AC11" si="26">IF(E11=0,0,ROUND(AVERAGE(E11:E18)/100,4))</f>
        <v>3.3E-3</v>
      </c>
      <c r="AA11" s="2027">
        <f t="shared" si="26"/>
        <v>1.5E-3</v>
      </c>
      <c r="AB11" s="2027">
        <f t="shared" si="26"/>
        <v>8.8999999999999999E-3</v>
      </c>
      <c r="AC11" s="2027">
        <f t="shared" si="26"/>
        <v>6.6E-3</v>
      </c>
      <c r="AD11" s="2027">
        <f t="shared" si="7"/>
        <v>1.5E-3</v>
      </c>
    </row>
    <row r="12" spans="1:30" s="2044" customFormat="1" ht="12.75">
      <c r="A12" s="2903" t="s">
        <v>3366</v>
      </c>
      <c r="B12" s="2030">
        <v>2022</v>
      </c>
      <c r="C12" s="2041">
        <v>3</v>
      </c>
      <c r="D12" s="2006">
        <v>0.66</v>
      </c>
      <c r="E12" s="2006">
        <v>0.32</v>
      </c>
      <c r="F12" s="2006">
        <v>0.23</v>
      </c>
      <c r="G12" s="2006">
        <v>0.72</v>
      </c>
      <c r="H12" s="2915">
        <v>0.63</v>
      </c>
      <c r="I12" s="2007">
        <f t="shared" si="4"/>
        <v>0.23</v>
      </c>
      <c r="J12" s="2904"/>
      <c r="K12" s="2042">
        <f t="shared" si="5"/>
        <v>6.6E-3</v>
      </c>
      <c r="L12" s="2027">
        <f t="shared" si="5"/>
        <v>3.2000000000000002E-3</v>
      </c>
      <c r="M12" s="2027">
        <f t="shared" si="5"/>
        <v>2.3E-3</v>
      </c>
      <c r="N12" s="2027">
        <f t="shared" si="5"/>
        <v>7.1999999999999998E-3</v>
      </c>
      <c r="O12" s="2027">
        <f t="shared" si="5"/>
        <v>6.3E-3</v>
      </c>
      <c r="P12" s="2027">
        <f t="shared" si="25"/>
        <v>2.3E-3</v>
      </c>
      <c r="Q12" s="2904"/>
      <c r="R12" s="2026">
        <f>ROUND(IF(项目基本情况!$B$8="出让",SUMPRODUCT(PRODUCT(1+K12:$K$18)),SUMPRODUCT(PRODUCT(1+K12:$K$17))),4)</f>
        <v>1.05</v>
      </c>
      <c r="S12" s="2026">
        <f>ROUND(IF(项目基本情况!$B$8="出让",SUMPRODUCT(PRODUCT(1+L12:$L$18)),SUMPRODUCT(PRODUCT(1+L12:$L$17))),4)</f>
        <v>1.0229999999999999</v>
      </c>
      <c r="T12" s="2026">
        <f>ROUND(IF(项目基本情况!$B$8="出让",SUMPRODUCT(PRODUCT(1+M12:$M$18)),SUMPRODUCT(PRODUCT(1+M12:$M$17))),4)</f>
        <v>1.0134000000000001</v>
      </c>
      <c r="U12" s="2026">
        <f>ROUND(IF(项目基本情况!$B$8="出让",SUMPRODUCT(PRODUCT(1+N12:$N$18)),SUMPRODUCT(PRODUCT(1+N12:$N$17))),4)</f>
        <v>1.0545</v>
      </c>
      <c r="V12" s="2026">
        <f>ROUND(IF(项目基本情况!$B$8="出让",SUMPRODUCT(PRODUCT(1+O12:$O$18)),SUMPRODUCT(PRODUCT(1+O12:$O$17))),4)</f>
        <v>1.0447</v>
      </c>
      <c r="W12" s="2026">
        <f t="shared" si="24"/>
        <v>1.0134000000000001</v>
      </c>
      <c r="X12" s="2904"/>
      <c r="Y12" s="2027">
        <f>IF(D12=0,0,ROUND(AVERAGE(D12:D18)/100,4))</f>
        <v>8.3999999999999995E-3</v>
      </c>
      <c r="Z12" s="2027">
        <f t="shared" ref="Z12:AC12" si="27">IF(E12=0,0,ROUND(AVERAGE(E12:E18)/100,4))</f>
        <v>3.5000000000000001E-3</v>
      </c>
      <c r="AA12" s="2027">
        <f t="shared" si="27"/>
        <v>1.5E-3</v>
      </c>
      <c r="AB12" s="2027">
        <f t="shared" si="27"/>
        <v>9.1999999999999998E-3</v>
      </c>
      <c r="AC12" s="2027">
        <f t="shared" si="27"/>
        <v>6.7999999999999996E-3</v>
      </c>
      <c r="AD12" s="2027">
        <f t="shared" si="7"/>
        <v>1.5E-3</v>
      </c>
    </row>
    <row r="13" spans="1:30" s="2044" customFormat="1" ht="12.75">
      <c r="A13" s="2903" t="s">
        <v>3357</v>
      </c>
      <c r="B13" s="2030">
        <v>2022</v>
      </c>
      <c r="C13" s="2041">
        <v>2</v>
      </c>
      <c r="D13" s="2006">
        <v>0.93</v>
      </c>
      <c r="E13" s="2006">
        <v>0.15</v>
      </c>
      <c r="F13" s="2006">
        <v>0.01</v>
      </c>
      <c r="G13" s="2006">
        <v>1.05</v>
      </c>
      <c r="H13" s="2915">
        <v>1.08</v>
      </c>
      <c r="I13" s="2007">
        <f t="shared" si="4"/>
        <v>0.01</v>
      </c>
      <c r="J13" s="2904"/>
      <c r="K13" s="2042">
        <f t="shared" si="5"/>
        <v>9.300000000000001E-3</v>
      </c>
      <c r="L13" s="2027">
        <f t="shared" si="5"/>
        <v>1.5E-3</v>
      </c>
      <c r="M13" s="2027">
        <f t="shared" si="5"/>
        <v>1E-4</v>
      </c>
      <c r="N13" s="2027">
        <f t="shared" si="5"/>
        <v>1.0500000000000001E-2</v>
      </c>
      <c r="O13" s="2027">
        <f t="shared" si="5"/>
        <v>1.0800000000000001E-2</v>
      </c>
      <c r="P13" s="2027">
        <f t="shared" si="25"/>
        <v>1E-4</v>
      </c>
      <c r="Q13" s="2904"/>
      <c r="R13" s="2026">
        <f>ROUND(IF(项目基本情况!$B$8="出让",SUMPRODUCT(PRODUCT(1+K13:$K$18)),SUMPRODUCT(PRODUCT(1+K13:$K$17))),4)</f>
        <v>1.0430999999999999</v>
      </c>
      <c r="S13" s="2026">
        <f>ROUND(IF(项目基本情况!$B$8="出让",SUMPRODUCT(PRODUCT(1+L13:$L$18)),SUMPRODUCT(PRODUCT(1+L13:$L$17))),4)</f>
        <v>1.0197000000000001</v>
      </c>
      <c r="T13" s="2026">
        <f>ROUND(IF(项目基本情况!$B$8="出让",SUMPRODUCT(PRODUCT(1+M13:$M$18)),SUMPRODUCT(PRODUCT(1+M13:$M$17))),4)</f>
        <v>1.0109999999999999</v>
      </c>
      <c r="U13" s="2026">
        <f>ROUND(IF(项目基本情况!$B$8="出让",SUMPRODUCT(PRODUCT(1+N13:$N$18)),SUMPRODUCT(PRODUCT(1+N13:$N$17))),4)</f>
        <v>1.0468999999999999</v>
      </c>
      <c r="V13" s="2026">
        <f>ROUND(IF(项目基本情况!$B$8="出让",SUMPRODUCT(PRODUCT(1+O13:$O$18)),SUMPRODUCT(PRODUCT(1+O13:$O$17))),4)</f>
        <v>1.0382</v>
      </c>
      <c r="W13" s="2026">
        <f t="shared" si="24"/>
        <v>1.0109999999999999</v>
      </c>
      <c r="X13" s="2904"/>
      <c r="Y13" s="2027">
        <f>IF(D13=0,0,ROUND(AVERAGE(D13:D18)/100,4))</f>
        <v>8.6999999999999994E-3</v>
      </c>
      <c r="Z13" s="2027">
        <f t="shared" ref="Z13:AC13" si="28">IF(E13=0,0,ROUND(AVERAGE(E13:E18)/100,4))</f>
        <v>3.5000000000000001E-3</v>
      </c>
      <c r="AA13" s="2027">
        <f t="shared" si="28"/>
        <v>1.4E-3</v>
      </c>
      <c r="AB13" s="2027">
        <f t="shared" si="28"/>
        <v>9.4999999999999998E-3</v>
      </c>
      <c r="AC13" s="2027">
        <f t="shared" si="28"/>
        <v>6.8999999999999999E-3</v>
      </c>
      <c r="AD13" s="2027">
        <f t="shared" si="7"/>
        <v>1.4E-3</v>
      </c>
    </row>
    <row r="14" spans="1:30" s="2044" customFormat="1" ht="12.75">
      <c r="A14" s="2903" t="s">
        <v>2823</v>
      </c>
      <c r="B14" s="2030">
        <v>2022</v>
      </c>
      <c r="C14" s="2041">
        <v>1</v>
      </c>
      <c r="D14" s="2006">
        <v>0.89</v>
      </c>
      <c r="E14" s="2006">
        <v>0.44</v>
      </c>
      <c r="F14" s="2006">
        <v>0.37</v>
      </c>
      <c r="G14" s="2006">
        <v>0.96</v>
      </c>
      <c r="H14" s="2915">
        <v>0.64</v>
      </c>
      <c r="I14" s="2007">
        <f t="shared" si="4"/>
        <v>0.37</v>
      </c>
      <c r="J14" s="2904"/>
      <c r="K14" s="2042">
        <f t="shared" si="5"/>
        <v>8.8999999999999999E-3</v>
      </c>
      <c r="L14" s="2027">
        <f t="shared" si="5"/>
        <v>4.4000000000000003E-3</v>
      </c>
      <c r="M14" s="2027">
        <f t="shared" si="5"/>
        <v>3.7000000000000002E-3</v>
      </c>
      <c r="N14" s="2027">
        <f t="shared" si="5"/>
        <v>9.5999999999999992E-3</v>
      </c>
      <c r="O14" s="2027">
        <f t="shared" si="5"/>
        <v>6.4000000000000003E-3</v>
      </c>
      <c r="P14" s="2027">
        <f t="shared" si="25"/>
        <v>3.7000000000000002E-3</v>
      </c>
      <c r="Q14" s="2904"/>
      <c r="R14" s="2026">
        <f>ROUND(IF(项目基本情况!$B$8="出让",SUMPRODUCT(PRODUCT(1+K14:$K$18)),SUMPRODUCT(PRODUCT(1+K14:$K$17))),4)</f>
        <v>1.0335000000000001</v>
      </c>
      <c r="S14" s="2026">
        <f>ROUND(IF(项目基本情况!$B$8="出让",SUMPRODUCT(PRODUCT(1+L14:$L$18)),SUMPRODUCT(PRODUCT(1+L14:$L$17))),4)</f>
        <v>1.0182</v>
      </c>
      <c r="T14" s="2026">
        <f>ROUND(IF(项目基本情况!$B$8="出让",SUMPRODUCT(PRODUCT(1+M14:$M$18)),SUMPRODUCT(PRODUCT(1+M14:$M$17))),4)</f>
        <v>1.0108999999999999</v>
      </c>
      <c r="U14" s="2026">
        <f>ROUND(IF(项目基本情况!$B$8="出让",SUMPRODUCT(PRODUCT(1+N14:$N$18)),SUMPRODUCT(PRODUCT(1+N14:$N$17))),4)</f>
        <v>1.0361</v>
      </c>
      <c r="V14" s="2026">
        <f>ROUND(IF(项目基本情况!$B$8="出让",SUMPRODUCT(PRODUCT(1+O14:$O$18)),SUMPRODUCT(PRODUCT(1+O14:$O$17))),4)</f>
        <v>1.0270999999999999</v>
      </c>
      <c r="W14" s="2026">
        <f t="shared" si="24"/>
        <v>1.0108999999999999</v>
      </c>
      <c r="X14" s="2904"/>
      <c r="Y14" s="2027">
        <f>IF(D14=0,0,ROUND(AVERAGE(D14:D18)/100,4))</f>
        <v>8.6E-3</v>
      </c>
      <c r="Z14" s="2027">
        <f t="shared" ref="Z14:AC14" si="29">IF(E14=0,0,ROUND(AVERAGE(E14:E18)/100,4))</f>
        <v>3.8999999999999998E-3</v>
      </c>
      <c r="AA14" s="2027">
        <f t="shared" si="29"/>
        <v>1.6999999999999999E-3</v>
      </c>
      <c r="AB14" s="2027">
        <f t="shared" si="29"/>
        <v>9.2999999999999992E-3</v>
      </c>
      <c r="AC14" s="2027">
        <f t="shared" si="29"/>
        <v>6.1000000000000004E-3</v>
      </c>
      <c r="AD14" s="2027">
        <f t="shared" si="7"/>
        <v>1.6999999999999999E-3</v>
      </c>
    </row>
    <row r="15" spans="1:30" s="2044" customFormat="1" ht="12.75">
      <c r="A15" s="2903" t="s">
        <v>2824</v>
      </c>
      <c r="B15" s="2030">
        <v>2021</v>
      </c>
      <c r="C15" s="2041">
        <v>4</v>
      </c>
      <c r="D15" s="2006">
        <v>1.03</v>
      </c>
      <c r="E15" s="2006">
        <v>0.24</v>
      </c>
      <c r="F15" s="2006">
        <v>7.0000000000000007E-2</v>
      </c>
      <c r="G15" s="2006">
        <v>1.17</v>
      </c>
      <c r="H15" s="2915">
        <v>0.55000000000000004</v>
      </c>
      <c r="I15" s="2007">
        <f t="shared" si="4"/>
        <v>7.0000000000000007E-2</v>
      </c>
      <c r="J15" s="2904"/>
      <c r="K15" s="2042">
        <f t="shared" si="5"/>
        <v>1.03E-2</v>
      </c>
      <c r="L15" s="2027">
        <f t="shared" si="5"/>
        <v>2.3999999999999998E-3</v>
      </c>
      <c r="M15" s="2027">
        <f t="shared" si="5"/>
        <v>7.000000000000001E-4</v>
      </c>
      <c r="N15" s="2027">
        <f t="shared" si="5"/>
        <v>1.1699999999999999E-2</v>
      </c>
      <c r="O15" s="2027">
        <f t="shared" si="5"/>
        <v>5.5000000000000005E-3</v>
      </c>
      <c r="P15" s="2027">
        <f t="shared" si="25"/>
        <v>7.000000000000001E-4</v>
      </c>
      <c r="Q15" s="2904"/>
      <c r="R15" s="2026">
        <f>ROUND(IF(项目基本情况!$B$8="出让",SUMPRODUCT(PRODUCT(1+K15:$K$18)),SUMPRODUCT(PRODUCT(1+K15:$K$17))),4)</f>
        <v>1.0244</v>
      </c>
      <c r="S15" s="2026">
        <f>ROUND(IF(项目基本情况!$B$8="出让",SUMPRODUCT(PRODUCT(1+L15:$L$18)),SUMPRODUCT(PRODUCT(1+L15:$L$17))),4)</f>
        <v>1.0138</v>
      </c>
      <c r="T15" s="2026">
        <f>ROUND(IF(项目基本情况!$B$8="出让",SUMPRODUCT(PRODUCT(1+M15:$M$18)),SUMPRODUCT(PRODUCT(1+M15:$M$17))),4)</f>
        <v>1.0072000000000001</v>
      </c>
      <c r="U15" s="2026">
        <f>ROUND(IF(项目基本情况!$B$8="出让",SUMPRODUCT(PRODUCT(1+N15:$N$18)),SUMPRODUCT(PRODUCT(1+N15:$N$17))),4)</f>
        <v>1.0262</v>
      </c>
      <c r="V15" s="2026">
        <f>ROUND(IF(项目基本情况!$B$8="出让",SUMPRODUCT(PRODUCT(1+O15:$O$18)),SUMPRODUCT(PRODUCT(1+O15:$O$17))),4)</f>
        <v>1.0205</v>
      </c>
      <c r="W15" s="2026">
        <f t="shared" si="24"/>
        <v>1.0072000000000001</v>
      </c>
      <c r="X15" s="2904"/>
      <c r="Y15" s="2027">
        <f>IF(D15=0,0,ROUND(AVERAGE(D15:D18)/100,4))</f>
        <v>8.5000000000000006E-3</v>
      </c>
      <c r="Z15" s="2027">
        <f t="shared" ref="Z15:AC15" si="30">IF(E15=0,0,ROUND(AVERAGE(E15:E18)/100,4))</f>
        <v>3.8E-3</v>
      </c>
      <c r="AA15" s="2027">
        <f t="shared" si="30"/>
        <v>1.1999999999999999E-3</v>
      </c>
      <c r="AB15" s="2027">
        <f t="shared" si="30"/>
        <v>9.2999999999999992E-3</v>
      </c>
      <c r="AC15" s="2027">
        <f t="shared" si="30"/>
        <v>6.0000000000000001E-3</v>
      </c>
      <c r="AD15" s="2027">
        <f t="shared" si="7"/>
        <v>1.1999999999999999E-3</v>
      </c>
    </row>
    <row r="16" spans="1:30" s="2044" customFormat="1" ht="12.75">
      <c r="A16" s="2903" t="s">
        <v>2825</v>
      </c>
      <c r="B16" s="2030">
        <v>2021</v>
      </c>
      <c r="C16" s="2041">
        <v>3</v>
      </c>
      <c r="D16" s="2006">
        <v>0.47</v>
      </c>
      <c r="E16" s="2006">
        <v>0.41</v>
      </c>
      <c r="F16" s="2006">
        <v>0.24</v>
      </c>
      <c r="G16" s="2006">
        <v>0.48</v>
      </c>
      <c r="H16" s="2915">
        <v>0.48</v>
      </c>
      <c r="I16" s="2007">
        <f t="shared" si="4"/>
        <v>0.24</v>
      </c>
      <c r="J16" s="2904"/>
      <c r="K16" s="2042">
        <f t="shared" si="5"/>
        <v>4.6999999999999993E-3</v>
      </c>
      <c r="L16" s="2027">
        <f t="shared" si="5"/>
        <v>4.0999999999999995E-3</v>
      </c>
      <c r="M16" s="2027">
        <f t="shared" si="5"/>
        <v>2.3999999999999998E-3</v>
      </c>
      <c r="N16" s="2027">
        <f t="shared" si="5"/>
        <v>4.7999999999999996E-3</v>
      </c>
      <c r="O16" s="2027">
        <f t="shared" si="5"/>
        <v>4.7999999999999996E-3</v>
      </c>
      <c r="P16" s="2027">
        <f t="shared" si="25"/>
        <v>2.3999999999999998E-3</v>
      </c>
      <c r="Q16" s="2904"/>
      <c r="R16" s="2026">
        <f>ROUND(IF(项目基本情况!$B$8="出让",SUMPRODUCT(PRODUCT(1+K16:$K$18)),SUMPRODUCT(PRODUCT(1+K16:$K$17))),4)</f>
        <v>1.0139</v>
      </c>
      <c r="S16" s="2026">
        <f>ROUND(IF(项目基本情况!$B$8="出让",SUMPRODUCT(PRODUCT(1+L16:$L$18)),SUMPRODUCT(PRODUCT(1+L16:$L$17))),4)</f>
        <v>1.0113000000000001</v>
      </c>
      <c r="T16" s="2026">
        <f>ROUND(IF(项目基本情况!$B$8="出让",SUMPRODUCT(PRODUCT(1+M16:$M$18)),SUMPRODUCT(PRODUCT(1+M16:$M$17))),4)</f>
        <v>1.0065</v>
      </c>
      <c r="U16" s="2026">
        <f>ROUND(IF(项目基本情况!$B$8="出让",SUMPRODUCT(PRODUCT(1+N16:$N$18)),SUMPRODUCT(PRODUCT(1+N16:$N$17))),4)</f>
        <v>1.0143</v>
      </c>
      <c r="V16" s="2026">
        <f>ROUND(IF(项目基本情况!$B$8="出让",SUMPRODUCT(PRODUCT(1+O16:$O$18)),SUMPRODUCT(PRODUCT(1+O16:$O$17))),4)</f>
        <v>1.0148999999999999</v>
      </c>
      <c r="W16" s="2026">
        <f t="shared" si="24"/>
        <v>1.0065</v>
      </c>
      <c r="X16" s="2904"/>
      <c r="Y16" s="2027">
        <f>IF(D16=0,0,ROUND(AVERAGE(D16:D18)/100,4))</f>
        <v>7.9000000000000008E-3</v>
      </c>
      <c r="Z16" s="2027">
        <f>IF(E16=0,0,ROUND(AVERAGE(E16:E18)/100,4))</f>
        <v>4.3E-3</v>
      </c>
      <c r="AA16" s="2027">
        <f>IF(F16=0,0,ROUND(AVERAGE(F16:F18)/100,4))</f>
        <v>1.2999999999999999E-3</v>
      </c>
      <c r="AB16" s="2027">
        <f>IF(G16=0,0,ROUND(AVERAGE(G16:G18)/100,4))</f>
        <v>8.5000000000000006E-3</v>
      </c>
      <c r="AC16" s="2027">
        <f>IF(H16=0,0,ROUND(AVERAGE(H16:H18)/100,4))</f>
        <v>6.1999999999999998E-3</v>
      </c>
      <c r="AD16" s="2027">
        <f t="shared" si="7"/>
        <v>1.2999999999999999E-3</v>
      </c>
    </row>
    <row r="17" spans="1:30" s="2044" customFormat="1" ht="12.75">
      <c r="A17" s="2903" t="s">
        <v>2826</v>
      </c>
      <c r="B17" s="2030">
        <v>2021</v>
      </c>
      <c r="C17" s="2041">
        <v>2</v>
      </c>
      <c r="D17" s="2006">
        <v>0.92</v>
      </c>
      <c r="E17" s="2006">
        <v>0.72</v>
      </c>
      <c r="F17" s="2006">
        <v>0.41</v>
      </c>
      <c r="G17" s="2006">
        <v>0.95</v>
      </c>
      <c r="H17" s="2915">
        <v>1.01</v>
      </c>
      <c r="I17" s="2007">
        <f t="shared" si="4"/>
        <v>0.41</v>
      </c>
      <c r="J17" s="2904"/>
      <c r="K17" s="2042">
        <f t="shared" si="5"/>
        <v>9.1999999999999998E-3</v>
      </c>
      <c r="L17" s="2027">
        <f t="shared" si="5"/>
        <v>7.1999999999999998E-3</v>
      </c>
      <c r="M17" s="2027">
        <f t="shared" si="5"/>
        <v>4.0999999999999995E-3</v>
      </c>
      <c r="N17" s="2027">
        <f t="shared" si="5"/>
        <v>9.4999999999999998E-3</v>
      </c>
      <c r="O17" s="2027">
        <f t="shared" si="5"/>
        <v>1.01E-2</v>
      </c>
      <c r="P17" s="2027">
        <f t="shared" si="25"/>
        <v>4.0999999999999995E-3</v>
      </c>
      <c r="Q17" s="2904"/>
      <c r="R17" s="2026">
        <f>ROUND(IF(项目基本情况!$B$8="出让",SUMPRODUCT(PRODUCT(1+K17:$K$18)),SUMPRODUCT(PRODUCT(1+K17:$K$17))),4)</f>
        <v>1.0092000000000001</v>
      </c>
      <c r="S17" s="2026">
        <f>ROUND(IF(项目基本情况!$B$8="出让",SUMPRODUCT(PRODUCT(1+L17:$L$18)),SUMPRODUCT(PRODUCT(1+L17:$L$17))),4)</f>
        <v>1.0072000000000001</v>
      </c>
      <c r="T17" s="2026">
        <f>ROUND(IF(项目基本情况!$B$8="出让",SUMPRODUCT(PRODUCT(1+M17:$M$18)),SUMPRODUCT(PRODUCT(1+M17:$M$17))),4)</f>
        <v>1.0041</v>
      </c>
      <c r="U17" s="2026">
        <f>ROUND(IF(项目基本情况!$B$8="出让",SUMPRODUCT(PRODUCT(1+N17:$N$18)),SUMPRODUCT(PRODUCT(1+N17:$N$17))),4)</f>
        <v>1.0095000000000001</v>
      </c>
      <c r="V17" s="2026">
        <f>ROUND(IF(项目基本情况!$B$8="出让",SUMPRODUCT(PRODUCT(1+O17:$O$18)),SUMPRODUCT(PRODUCT(1+O17:$O$17))),4)</f>
        <v>1.0101</v>
      </c>
      <c r="W17" s="2026">
        <f t="shared" si="24"/>
        <v>1.0041</v>
      </c>
      <c r="X17" s="2904"/>
      <c r="Y17" s="2027">
        <f>IF(D17=0,0,ROUND(AVERAGE(D17:D18)/100,4))</f>
        <v>9.4999999999999998E-3</v>
      </c>
      <c r="Z17" s="2027">
        <f>IF(E17=0,0,ROUND(AVERAGE(E17:E18)/100,4))</f>
        <v>4.4000000000000003E-3</v>
      </c>
      <c r="AA17" s="2027">
        <f>IF(F17=0,0,ROUND(AVERAGE(F17:F18)/100,4))</f>
        <v>8.0000000000000004E-4</v>
      </c>
      <c r="AB17" s="2027">
        <f>IF(G17=0,0,ROUND(AVERAGE(G17:G18)/100,4))</f>
        <v>1.03E-2</v>
      </c>
      <c r="AC17" s="2027">
        <f>IF(H17=0,0,ROUND(AVERAGE(H17:H18)/100,4))</f>
        <v>6.8999999999999999E-3</v>
      </c>
      <c r="AD17" s="2027">
        <f t="shared" si="7"/>
        <v>8.0000000000000004E-4</v>
      </c>
    </row>
    <row r="18" spans="1:30" s="2926" customFormat="1" thickBot="1">
      <c r="A18" s="2916" t="s">
        <v>2827</v>
      </c>
      <c r="B18" s="2917">
        <v>2021</v>
      </c>
      <c r="C18" s="2918">
        <v>1</v>
      </c>
      <c r="D18" s="2919">
        <v>0.97</v>
      </c>
      <c r="E18" s="2919">
        <v>0.16</v>
      </c>
      <c r="F18" s="2919">
        <v>-0.25</v>
      </c>
      <c r="G18" s="2919">
        <v>1.1100000000000001</v>
      </c>
      <c r="H18" s="2920">
        <v>0.36</v>
      </c>
      <c r="I18" s="2921">
        <f t="shared" si="4"/>
        <v>-0.25</v>
      </c>
      <c r="J18" s="2922"/>
      <c r="K18" s="2923">
        <f t="shared" si="5"/>
        <v>9.7000000000000003E-3</v>
      </c>
      <c r="L18" s="2924">
        <f t="shared" si="5"/>
        <v>1.6000000000000001E-3</v>
      </c>
      <c r="M18" s="2924">
        <f>F18/100</f>
        <v>-2.5000000000000001E-3</v>
      </c>
      <c r="N18" s="2924">
        <f t="shared" si="5"/>
        <v>1.11E-2</v>
      </c>
      <c r="O18" s="2924">
        <f t="shared" si="5"/>
        <v>3.5999999999999999E-3</v>
      </c>
      <c r="P18" s="2924">
        <f t="shared" si="25"/>
        <v>-2.5000000000000001E-3</v>
      </c>
      <c r="Q18" s="2922"/>
      <c r="R18" s="2925">
        <v>1</v>
      </c>
      <c r="S18" s="2925">
        <v>1</v>
      </c>
      <c r="T18" s="2925">
        <v>1</v>
      </c>
      <c r="U18" s="2925">
        <v>1</v>
      </c>
      <c r="V18" s="2925">
        <v>1</v>
      </c>
      <c r="W18" s="2925">
        <f t="shared" ref="W18" si="31">T18</f>
        <v>1</v>
      </c>
      <c r="X18" s="2922"/>
      <c r="Y18" s="2924">
        <f>IF(D18=0,0,ROUND(AVERAGE(D18:D18)/100,4))</f>
        <v>9.7000000000000003E-3</v>
      </c>
      <c r="Z18" s="2924">
        <f>IF(E18=0,0,ROUND(AVERAGE(E18:E18)/100,4))</f>
        <v>1.6000000000000001E-3</v>
      </c>
      <c r="AA18" s="2924">
        <f>IF(F18=0,0,ROUND(AVERAGE(F18:F18)/100,4))</f>
        <v>-2.5000000000000001E-3</v>
      </c>
      <c r="AB18" s="2924">
        <f>IF(G18=0,0,ROUND(AVERAGE(G18:G18)/100,4))</f>
        <v>1.11E-2</v>
      </c>
      <c r="AC18" s="2924">
        <f>IF(H18=0,0,ROUND(AVERAGE(H18:H18)/100,4))</f>
        <v>3.5999999999999999E-3</v>
      </c>
      <c r="AD18" s="2924">
        <f>AA18</f>
        <v>-2.5000000000000001E-3</v>
      </c>
    </row>
    <row r="19" spans="1:30" ht="14.25" thickTop="1"/>
    <row r="20" spans="1:30">
      <c r="A20" s="3141" t="s">
        <v>3368</v>
      </c>
    </row>
    <row r="21" spans="1:30">
      <c r="I21" s="1405" t="s">
        <v>2828</v>
      </c>
    </row>
    <row r="23" spans="1:30" s="2008" customFormat="1" ht="12.75">
      <c r="B23" s="2927" t="s">
        <v>3375</v>
      </c>
      <c r="C23" s="2928"/>
      <c r="D23" s="2928"/>
      <c r="E23" s="2928"/>
      <c r="F23" s="2928"/>
      <c r="G23" s="2928"/>
      <c r="H23" s="2928"/>
      <c r="I23" s="2928"/>
      <c r="J23" s="2894"/>
      <c r="K23" s="2928" t="s">
        <v>2829</v>
      </c>
      <c r="L23" s="2928"/>
      <c r="M23" s="2928"/>
      <c r="N23" s="2928"/>
      <c r="O23" s="2928"/>
      <c r="P23" s="2928"/>
      <c r="Q23" s="2894"/>
      <c r="R23" s="3498" t="s">
        <v>2830</v>
      </c>
      <c r="S23" s="3499"/>
      <c r="T23" s="3499"/>
      <c r="U23" s="3499"/>
      <c r="V23" s="3499"/>
      <c r="W23" s="3499"/>
      <c r="X23" s="2894"/>
      <c r="Y23" s="3498" t="s">
        <v>2831</v>
      </c>
      <c r="Z23" s="3499"/>
      <c r="AA23" s="3499"/>
      <c r="AB23" s="3499"/>
      <c r="AC23" s="3499"/>
      <c r="AD23" s="3499"/>
    </row>
    <row r="24" spans="1:30" s="2009" customFormat="1" ht="14.25" thickBot="1">
      <c r="B24" s="2879"/>
      <c r="C24" s="2880"/>
      <c r="D24" s="2010" t="s">
        <v>2832</v>
      </c>
      <c r="E24" s="2011" t="s">
        <v>2833</v>
      </c>
      <c r="F24" s="2011" t="s">
        <v>2834</v>
      </c>
      <c r="G24" s="2011" t="s">
        <v>2835</v>
      </c>
      <c r="H24" s="2011"/>
      <c r="I24" s="2011" t="s">
        <v>2836</v>
      </c>
      <c r="J24" s="2881"/>
      <c r="K24" s="2010" t="s">
        <v>2832</v>
      </c>
      <c r="L24" s="2011" t="s">
        <v>2833</v>
      </c>
      <c r="M24" s="2011" t="s">
        <v>2834</v>
      </c>
      <c r="N24" s="2011" t="s">
        <v>2835</v>
      </c>
      <c r="O24" s="2011"/>
      <c r="P24" s="2011" t="s">
        <v>2836</v>
      </c>
      <c r="Q24" s="2881"/>
      <c r="R24" s="2010" t="s">
        <v>2832</v>
      </c>
      <c r="S24" s="2011" t="s">
        <v>2833</v>
      </c>
      <c r="T24" s="2011" t="s">
        <v>2834</v>
      </c>
      <c r="U24" s="2011" t="s">
        <v>2835</v>
      </c>
      <c r="V24" s="2011"/>
      <c r="W24" s="2011" t="s">
        <v>2836</v>
      </c>
      <c r="X24" s="2881"/>
      <c r="Y24" s="2010" t="s">
        <v>2832</v>
      </c>
      <c r="Z24" s="2011" t="s">
        <v>2833</v>
      </c>
      <c r="AA24" s="2011" t="s">
        <v>2834</v>
      </c>
      <c r="AB24" s="2011" t="s">
        <v>2835</v>
      </c>
      <c r="AC24" s="2011"/>
      <c r="AD24" s="2011" t="s">
        <v>2836</v>
      </c>
    </row>
    <row r="25" spans="1:30" s="2884" customFormat="1" ht="12.75">
      <c r="A25" s="2882" t="s">
        <v>2837</v>
      </c>
      <c r="B25" s="2883"/>
      <c r="E25" s="2884">
        <f t="shared" ref="E25:G25" si="32">ROUND(AVERAGEIF(E26:E40,"&lt;&gt;0"),2)</f>
        <v>0.42</v>
      </c>
      <c r="F25" s="2884">
        <f t="shared" si="32"/>
        <v>0.3</v>
      </c>
      <c r="G25" s="2884">
        <f t="shared" si="32"/>
        <v>0.73</v>
      </c>
      <c r="I25" s="2884">
        <f>F25</f>
        <v>0.3</v>
      </c>
      <c r="J25" s="2885"/>
      <c r="K25" s="2886"/>
      <c r="L25" s="2887">
        <f t="shared" ref="L25:N25" si="33">ROUND(AVERAGEIF(L26:L40,"&lt;&gt;0"),4)</f>
        <v>4.1999999999999997E-3</v>
      </c>
      <c r="M25" s="2887">
        <f t="shared" si="33"/>
        <v>3.0000000000000001E-3</v>
      </c>
      <c r="N25" s="2887">
        <f t="shared" si="33"/>
        <v>7.3000000000000001E-3</v>
      </c>
      <c r="O25" s="2887"/>
      <c r="P25" s="2887">
        <f>M25</f>
        <v>3.0000000000000001E-3</v>
      </c>
      <c r="Q25" s="2885"/>
      <c r="R25" s="2888"/>
      <c r="S25" s="2889">
        <f>ROUND(SUMPRODUCT(PRODUCT(1+L26:L40)),4)</f>
        <v>1.0468</v>
      </c>
      <c r="T25" s="2889">
        <f t="shared" ref="T25:U25" si="34">ROUND(SUMPRODUCT(PRODUCT(1+M26:M40)),4)</f>
        <v>1.0337000000000001</v>
      </c>
      <c r="U25" s="2889">
        <f t="shared" si="34"/>
        <v>1.0828</v>
      </c>
      <c r="V25" s="2889"/>
      <c r="W25" s="2888">
        <f>T25</f>
        <v>1.0337000000000001</v>
      </c>
      <c r="X25" s="2885"/>
      <c r="Y25" s="2890"/>
      <c r="Z25" s="2891">
        <f t="shared" ref="Z25:AB25" si="35">ROUND(AVERAGEIF(Z26:Z40,"&lt;&gt;0"),4)</f>
        <v>4.3E-3</v>
      </c>
      <c r="AA25" s="2892">
        <f t="shared" si="35"/>
        <v>3.5999999999999999E-3</v>
      </c>
      <c r="AB25" s="2890">
        <f t="shared" si="35"/>
        <v>8.8999999999999999E-3</v>
      </c>
      <c r="AC25" s="2893"/>
      <c r="AD25" s="2890">
        <f>AA25</f>
        <v>3.5999999999999999E-3</v>
      </c>
    </row>
    <row r="26" spans="1:30" s="2008" customFormat="1" ht="12.75">
      <c r="B26" s="2024"/>
      <c r="J26" s="2894"/>
      <c r="K26" s="2895"/>
      <c r="L26" s="2896"/>
      <c r="M26" s="2896"/>
      <c r="N26" s="2896"/>
      <c r="O26" s="2896"/>
      <c r="P26" s="2896"/>
      <c r="Q26" s="2894"/>
      <c r="R26" s="2026"/>
      <c r="S26" s="2897"/>
      <c r="T26" s="2898"/>
      <c r="U26" s="2026"/>
      <c r="V26" s="2899"/>
      <c r="W26" s="2026"/>
      <c r="X26" s="2894"/>
      <c r="Y26" s="2027"/>
      <c r="Z26" s="2900"/>
      <c r="AA26" s="2901"/>
      <c r="AB26" s="2027"/>
      <c r="AC26" s="2902"/>
      <c r="AD26" s="2027"/>
    </row>
    <row r="27" spans="1:30" s="2044" customFormat="1" ht="12.75">
      <c r="A27" s="2039" t="s">
        <v>3378</v>
      </c>
      <c r="B27" s="2030">
        <v>2023</v>
      </c>
      <c r="C27" s="2041">
        <v>4</v>
      </c>
      <c r="D27" s="2006"/>
      <c r="E27" s="2006">
        <v>0</v>
      </c>
      <c r="F27" s="2006">
        <v>0</v>
      </c>
      <c r="G27" s="2006">
        <v>0</v>
      </c>
      <c r="H27" s="2006"/>
      <c r="I27" s="2007">
        <f t="shared" ref="I27:I40" si="36">F27</f>
        <v>0</v>
      </c>
      <c r="J27" s="2904"/>
      <c r="K27" s="2042"/>
      <c r="L27" s="2027">
        <f t="shared" ref="L27:N40" si="37">E27/100</f>
        <v>0</v>
      </c>
      <c r="M27" s="2027">
        <f t="shared" si="37"/>
        <v>0</v>
      </c>
      <c r="N27" s="2027">
        <f t="shared" si="37"/>
        <v>0</v>
      </c>
      <c r="O27" s="2027"/>
      <c r="P27" s="2027">
        <f>M27</f>
        <v>0</v>
      </c>
      <c r="Q27" s="2904"/>
      <c r="R27" s="2026"/>
      <c r="S27" s="2026">
        <f>ROUND(IF(项目基本情况!$B$8="出让",SUMPRODUCT(PRODUCT(1+L27:L$40)),SUMPRODUCT(PRODUCT(1+L27:L$39))),4)</f>
        <v>1.0431999999999999</v>
      </c>
      <c r="T27" s="2026">
        <f>ROUND(IF(项目基本情况!$B$8="出让",SUMPRODUCT(PRODUCT(1+M27:M$40)),SUMPRODUCT(PRODUCT(1+M27:M$39))),4)</f>
        <v>1.0286999999999999</v>
      </c>
      <c r="U27" s="2026">
        <f>ROUND(IF(项目基本情况!$B$8="出让",SUMPRODUCT(PRODUCT(1+N27:N$40)),SUMPRODUCT(PRODUCT(1+N27:N$39))),4)</f>
        <v>1.0723</v>
      </c>
      <c r="V27" s="2026"/>
      <c r="W27" s="2026">
        <f>T27</f>
        <v>1.0286999999999999</v>
      </c>
      <c r="X27" s="2904"/>
      <c r="Y27" s="2027"/>
      <c r="Z27" s="2900">
        <f>IF(E27=0,0,ROUND(AVERAGE(E27:E40)/100,4))</f>
        <v>0</v>
      </c>
      <c r="AA27" s="2900">
        <f>IF(F27=0,0,ROUND(AVERAGE(F27:F40)/100,4))</f>
        <v>0</v>
      </c>
      <c r="AB27" s="2900">
        <f>IF(G27=0,0,ROUND(AVERAGE(G27:G40)/100,4))</f>
        <v>0</v>
      </c>
      <c r="AC27" s="2902"/>
      <c r="AD27" s="2027">
        <f>IF(I27=0,0,ROUND(AVERAGE(I27:I40)/100,4))</f>
        <v>0</v>
      </c>
    </row>
    <row r="28" spans="1:30" s="2044" customFormat="1" ht="12.75">
      <c r="A28" s="2039" t="s">
        <v>3379</v>
      </c>
      <c r="B28" s="2030">
        <v>2023</v>
      </c>
      <c r="C28" s="2041">
        <v>3</v>
      </c>
      <c r="D28" s="2006"/>
      <c r="E28" s="2006">
        <v>0</v>
      </c>
      <c r="F28" s="2006">
        <v>0</v>
      </c>
      <c r="G28" s="2006">
        <v>0</v>
      </c>
      <c r="H28" s="2006"/>
      <c r="I28" s="2007">
        <f t="shared" ref="I28:I29" si="38">F28</f>
        <v>0</v>
      </c>
      <c r="J28" s="2904"/>
      <c r="K28" s="2042"/>
      <c r="L28" s="2027">
        <f t="shared" ref="L28" si="39">E28/100</f>
        <v>0</v>
      </c>
      <c r="M28" s="2027">
        <f t="shared" ref="M28" si="40">F28/100</f>
        <v>0</v>
      </c>
      <c r="N28" s="2027">
        <f t="shared" ref="N28" si="41">G28/100</f>
        <v>0</v>
      </c>
      <c r="O28" s="2027"/>
      <c r="P28" s="2027">
        <f t="shared" ref="P28" si="42">M28</f>
        <v>0</v>
      </c>
      <c r="Q28" s="2904"/>
      <c r="R28" s="2026"/>
      <c r="S28" s="2026">
        <f>ROUND(IF(项目基本情况!$B$8="出让",SUMPRODUCT(PRODUCT(1+L28:L$40)),SUMPRODUCT(PRODUCT(1+L28:L$39))),4)</f>
        <v>1.0431999999999999</v>
      </c>
      <c r="T28" s="2026">
        <f>ROUND(IF(项目基本情况!$B$8="出让",SUMPRODUCT(PRODUCT(1+M28:M$40)),SUMPRODUCT(PRODUCT(1+M28:M$39))),4)</f>
        <v>1.0286999999999999</v>
      </c>
      <c r="U28" s="2026">
        <f>ROUND(IF(项目基本情况!$B$8="出让",SUMPRODUCT(PRODUCT(1+N28:N$40)),SUMPRODUCT(PRODUCT(1+N28:N$39))),4)</f>
        <v>1.0723</v>
      </c>
      <c r="V28" s="2026"/>
      <c r="W28" s="2026">
        <f t="shared" ref="W28" si="43">T28</f>
        <v>1.0286999999999999</v>
      </c>
      <c r="X28" s="2904"/>
      <c r="Y28" s="2027"/>
      <c r="Z28" s="2900"/>
      <c r="AA28" s="2901"/>
      <c r="AB28" s="2027"/>
      <c r="AC28" s="2902"/>
      <c r="AD28" s="2027"/>
    </row>
    <row r="29" spans="1:30" s="2044" customFormat="1" ht="12.75">
      <c r="A29" s="2039" t="s">
        <v>3380</v>
      </c>
      <c r="B29" s="2030">
        <v>2023</v>
      </c>
      <c r="C29" s="2041">
        <v>3</v>
      </c>
      <c r="D29" s="2006"/>
      <c r="E29" s="2006">
        <v>0</v>
      </c>
      <c r="F29" s="2006">
        <v>0</v>
      </c>
      <c r="G29" s="2006">
        <v>0</v>
      </c>
      <c r="H29" s="2006"/>
      <c r="I29" s="2007">
        <f t="shared" si="38"/>
        <v>0</v>
      </c>
      <c r="J29" s="2904"/>
      <c r="K29" s="2042"/>
      <c r="L29" s="2027">
        <f t="shared" si="37"/>
        <v>0</v>
      </c>
      <c r="M29" s="2027">
        <f t="shared" si="37"/>
        <v>0</v>
      </c>
      <c r="N29" s="2027">
        <f t="shared" si="37"/>
        <v>0</v>
      </c>
      <c r="O29" s="2027"/>
      <c r="P29" s="2027">
        <f t="shared" ref="P29" si="44">M29</f>
        <v>0</v>
      </c>
      <c r="Q29" s="2904"/>
      <c r="R29" s="2026"/>
      <c r="S29" s="2026">
        <f>ROUND(IF(项目基本情况!$B$8="出让",SUMPRODUCT(PRODUCT(1+L29:L$40)),SUMPRODUCT(PRODUCT(1+L29:L$39))),4)</f>
        <v>1.0431999999999999</v>
      </c>
      <c r="T29" s="2026">
        <f>ROUND(IF(项目基本情况!$B$8="出让",SUMPRODUCT(PRODUCT(1+M29:M$40)),SUMPRODUCT(PRODUCT(1+M29:M$39))),4)</f>
        <v>1.0286999999999999</v>
      </c>
      <c r="U29" s="2026">
        <f>ROUND(IF(项目基本情况!$B$8="出让",SUMPRODUCT(PRODUCT(1+N29:N$40)),SUMPRODUCT(PRODUCT(1+N29:N$39))),4)</f>
        <v>1.0723</v>
      </c>
      <c r="V29" s="2026"/>
      <c r="W29" s="2026">
        <f t="shared" ref="W29" si="45">T29</f>
        <v>1.0286999999999999</v>
      </c>
      <c r="X29" s="2904"/>
      <c r="Y29" s="2027"/>
      <c r="Z29" s="2900"/>
      <c r="AA29" s="2901"/>
      <c r="AB29" s="2027"/>
      <c r="AC29" s="2902"/>
      <c r="AD29" s="2027"/>
    </row>
    <row r="30" spans="1:30" s="2914" customFormat="1" ht="12.75">
      <c r="A30" s="2905" t="s">
        <v>3376</v>
      </c>
      <c r="B30" s="2906">
        <v>2023</v>
      </c>
      <c r="C30" s="2907">
        <v>3</v>
      </c>
      <c r="D30" s="2908"/>
      <c r="E30" s="2908">
        <v>0.35</v>
      </c>
      <c r="F30" s="2908">
        <v>0.17</v>
      </c>
      <c r="G30" s="2908">
        <v>0.52</v>
      </c>
      <c r="H30" s="2909"/>
      <c r="I30" s="2910">
        <f t="shared" si="36"/>
        <v>0.17</v>
      </c>
      <c r="J30" s="2911"/>
      <c r="K30" s="2912"/>
      <c r="L30" s="2913">
        <f t="shared" ref="L30:L32" si="46">E30/100</f>
        <v>3.4999999999999996E-3</v>
      </c>
      <c r="M30" s="2913">
        <f t="shared" ref="M30:M32" si="47">F30/100</f>
        <v>1.7000000000000001E-3</v>
      </c>
      <c r="N30" s="2913">
        <f t="shared" ref="N30:N32" si="48">G30/100</f>
        <v>5.1999999999999998E-3</v>
      </c>
      <c r="O30" s="2913"/>
      <c r="P30" s="2913">
        <f t="shared" ref="P30:P32" si="49">M30</f>
        <v>1.7000000000000001E-3</v>
      </c>
      <c r="Q30" s="2911"/>
      <c r="R30" s="2911"/>
      <c r="S30" s="2911">
        <f>ROUND(IF(项目基本情况!$B$8="出让",SUMPRODUCT(PRODUCT(1+L30:L$40)),SUMPRODUCT(PRODUCT(1+L30:L$39))),4)</f>
        <v>1.0431999999999999</v>
      </c>
      <c r="T30" s="2911">
        <f>ROUND(IF(项目基本情况!$B$8="出让",SUMPRODUCT(PRODUCT(1+M30:M$40)),SUMPRODUCT(PRODUCT(1+M30:M$39))),4)</f>
        <v>1.0286999999999999</v>
      </c>
      <c r="U30" s="2911">
        <f>ROUND(IF(项目基本情况!$B$8="出让",SUMPRODUCT(PRODUCT(1+N30:N$40)),SUMPRODUCT(PRODUCT(1+N30:N$39))),4)</f>
        <v>1.0723</v>
      </c>
      <c r="V30" s="2911"/>
      <c r="W30" s="2911">
        <f t="shared" ref="W30:W32" si="50">T30</f>
        <v>1.0286999999999999</v>
      </c>
      <c r="X30" s="2911"/>
      <c r="Y30" s="2913"/>
      <c r="Z30" s="2929"/>
      <c r="AA30" s="2930"/>
      <c r="AB30" s="2913"/>
      <c r="AC30" s="2931"/>
      <c r="AD30" s="2913"/>
    </row>
    <row r="31" spans="1:30" s="2044" customFormat="1" ht="12.75">
      <c r="A31" s="2903" t="s">
        <v>3377</v>
      </c>
      <c r="B31" s="2030">
        <v>2023</v>
      </c>
      <c r="C31" s="2041">
        <v>2</v>
      </c>
      <c r="D31" s="2006"/>
      <c r="E31" s="2006">
        <v>0.5</v>
      </c>
      <c r="F31" s="2006">
        <v>0.45</v>
      </c>
      <c r="G31" s="2006">
        <v>0.89</v>
      </c>
      <c r="H31" s="2915"/>
      <c r="I31" s="2007">
        <f t="shared" si="36"/>
        <v>0.45</v>
      </c>
      <c r="J31" s="2904"/>
      <c r="K31" s="2042"/>
      <c r="L31" s="2027">
        <f t="shared" si="46"/>
        <v>5.0000000000000001E-3</v>
      </c>
      <c r="M31" s="2027">
        <f t="shared" si="47"/>
        <v>4.5000000000000005E-3</v>
      </c>
      <c r="N31" s="2027">
        <f t="shared" si="48"/>
        <v>8.8999999999999999E-3</v>
      </c>
      <c r="O31" s="2027"/>
      <c r="P31" s="2027">
        <f t="shared" si="49"/>
        <v>4.5000000000000005E-3</v>
      </c>
      <c r="Q31" s="2904"/>
      <c r="R31" s="2026"/>
      <c r="S31" s="2026">
        <f>ROUND(IF(项目基本情况!$B$8="出让",SUMPRODUCT(PRODUCT(1+L31:L$40)),SUMPRODUCT(PRODUCT(1+L31:L$39))),4)</f>
        <v>1.0396000000000001</v>
      </c>
      <c r="T31" s="2026">
        <f>ROUND(IF(项目基本情况!$B$8="出让",SUMPRODUCT(PRODUCT(1+M31:M$40)),SUMPRODUCT(PRODUCT(1+M31:M$39))),4)</f>
        <v>1.0269999999999999</v>
      </c>
      <c r="U31" s="2026">
        <f>ROUND(IF(项目基本情况!$B$8="出让",SUMPRODUCT(PRODUCT(1+N31:N$40)),SUMPRODUCT(PRODUCT(1+N31:N$39))),4)</f>
        <v>1.0668</v>
      </c>
      <c r="V31" s="2026"/>
      <c r="W31" s="2026">
        <f t="shared" si="50"/>
        <v>1.0269999999999999</v>
      </c>
      <c r="X31" s="2904"/>
      <c r="Y31" s="2027"/>
      <c r="Z31" s="2900"/>
      <c r="AA31" s="2901"/>
      <c r="AB31" s="2027"/>
      <c r="AC31" s="2902"/>
      <c r="AD31" s="2027"/>
    </row>
    <row r="32" spans="1:30" s="2044" customFormat="1" ht="12.75">
      <c r="A32" s="2903" t="s">
        <v>3371</v>
      </c>
      <c r="B32" s="2030">
        <v>2023</v>
      </c>
      <c r="C32" s="2041">
        <v>1</v>
      </c>
      <c r="D32" s="2006"/>
      <c r="E32" s="2006">
        <v>0.55000000000000004</v>
      </c>
      <c r="F32" s="2006">
        <v>0.59</v>
      </c>
      <c r="G32" s="2006">
        <v>0.64</v>
      </c>
      <c r="H32" s="2915"/>
      <c r="I32" s="2007">
        <f t="shared" si="36"/>
        <v>0.59</v>
      </c>
      <c r="J32" s="2904"/>
      <c r="K32" s="2042"/>
      <c r="L32" s="2027">
        <f t="shared" si="46"/>
        <v>5.5000000000000005E-3</v>
      </c>
      <c r="M32" s="2027">
        <f t="shared" si="47"/>
        <v>5.8999999999999999E-3</v>
      </c>
      <c r="N32" s="2027">
        <f t="shared" si="48"/>
        <v>6.4000000000000003E-3</v>
      </c>
      <c r="O32" s="2027"/>
      <c r="P32" s="2027">
        <f t="shared" si="49"/>
        <v>5.8999999999999999E-3</v>
      </c>
      <c r="Q32" s="2904"/>
      <c r="R32" s="2026"/>
      <c r="S32" s="2026">
        <f>ROUND(IF(项目基本情况!$B$8="出让",SUMPRODUCT(PRODUCT(1+L32:L$40)),SUMPRODUCT(PRODUCT(1+L32:L$39))),4)</f>
        <v>1.0344</v>
      </c>
      <c r="T32" s="2026">
        <f>ROUND(IF(项目基本情况!$B$8="出让",SUMPRODUCT(PRODUCT(1+M32:M$40)),SUMPRODUCT(PRODUCT(1+M32:M$39))),4)</f>
        <v>1.0224</v>
      </c>
      <c r="U32" s="2026">
        <f>ROUND(IF(项目基本情况!$B$8="出让",SUMPRODUCT(PRODUCT(1+N32:N$40)),SUMPRODUCT(PRODUCT(1+N32:N$39))),4)</f>
        <v>1.0573999999999999</v>
      </c>
      <c r="V32" s="2026"/>
      <c r="W32" s="2026">
        <f t="shared" si="50"/>
        <v>1.0224</v>
      </c>
      <c r="X32" s="2904"/>
      <c r="Y32" s="2027"/>
      <c r="Z32" s="2900"/>
      <c r="AA32" s="2901"/>
      <c r="AB32" s="2027"/>
      <c r="AC32" s="2902"/>
      <c r="AD32" s="2027"/>
    </row>
    <row r="33" spans="1:30" s="2044" customFormat="1" ht="12.75">
      <c r="A33" s="2903" t="s">
        <v>3370</v>
      </c>
      <c r="B33" s="2030">
        <v>2022</v>
      </c>
      <c r="C33" s="2041">
        <v>4</v>
      </c>
      <c r="D33" s="2006"/>
      <c r="E33" s="2006">
        <v>0.45</v>
      </c>
      <c r="F33" s="2006">
        <v>0.2</v>
      </c>
      <c r="G33" s="2006">
        <v>0.38</v>
      </c>
      <c r="H33" s="2915"/>
      <c r="I33" s="2007">
        <f t="shared" si="36"/>
        <v>0.2</v>
      </c>
      <c r="J33" s="2904"/>
      <c r="K33" s="2042"/>
      <c r="L33" s="2027">
        <f t="shared" si="37"/>
        <v>4.5000000000000005E-3</v>
      </c>
      <c r="M33" s="2027">
        <f t="shared" si="37"/>
        <v>2E-3</v>
      </c>
      <c r="N33" s="2027">
        <f t="shared" si="37"/>
        <v>3.8E-3</v>
      </c>
      <c r="O33" s="2027"/>
      <c r="P33" s="2027">
        <f t="shared" ref="P33:P40" si="51">M33</f>
        <v>2E-3</v>
      </c>
      <c r="Q33" s="2904"/>
      <c r="R33" s="2026"/>
      <c r="S33" s="2026">
        <f>ROUND(IF(项目基本情况!$B$8="出让",SUMPRODUCT(PRODUCT(1+L33:L$40)),SUMPRODUCT(PRODUCT(1+L33:L$39))),4)</f>
        <v>1.0286999999999999</v>
      </c>
      <c r="T33" s="2026">
        <f>ROUND(IF(项目基本情况!$B$8="出让",SUMPRODUCT(PRODUCT(1+M33:M$40)),SUMPRODUCT(PRODUCT(1+M33:M$39))),4)</f>
        <v>1.0164</v>
      </c>
      <c r="U33" s="2026">
        <f>ROUND(IF(项目基本情况!$B$8="出让",SUMPRODUCT(PRODUCT(1+N33:N$40)),SUMPRODUCT(PRODUCT(1+N33:N$39))),4)</f>
        <v>1.0506</v>
      </c>
      <c r="V33" s="2026"/>
      <c r="W33" s="2026">
        <f t="shared" ref="W33:W40" si="52">T33</f>
        <v>1.0164</v>
      </c>
      <c r="X33" s="2904"/>
      <c r="Y33" s="2027"/>
      <c r="Z33" s="2900">
        <f t="shared" ref="Z33:AD40" si="53">IF(E33=0,0,ROUND(AVERAGE(E33:E41)/100,4))</f>
        <v>4.0000000000000001E-3</v>
      </c>
      <c r="AA33" s="2901">
        <f t="shared" si="53"/>
        <v>2.5999999999999999E-3</v>
      </c>
      <c r="AB33" s="2027">
        <f t="shared" si="53"/>
        <v>7.4000000000000003E-3</v>
      </c>
      <c r="AC33" s="2902"/>
      <c r="AD33" s="2027">
        <f t="shared" si="53"/>
        <v>2.5999999999999999E-3</v>
      </c>
    </row>
    <row r="34" spans="1:30" s="2044" customFormat="1" ht="12.75">
      <c r="A34" s="2903" t="s">
        <v>3367</v>
      </c>
      <c r="B34" s="2030">
        <v>2022</v>
      </c>
      <c r="C34" s="2041">
        <v>3</v>
      </c>
      <c r="D34" s="2006"/>
      <c r="E34" s="2006">
        <v>0.3</v>
      </c>
      <c r="F34" s="2006">
        <v>0.28999999999999998</v>
      </c>
      <c r="G34" s="2006">
        <v>0.83</v>
      </c>
      <c r="H34" s="2915"/>
      <c r="I34" s="2007">
        <f t="shared" si="36"/>
        <v>0.28999999999999998</v>
      </c>
      <c r="J34" s="2904"/>
      <c r="K34" s="2042"/>
      <c r="L34" s="2027">
        <f t="shared" si="37"/>
        <v>3.0000000000000001E-3</v>
      </c>
      <c r="M34" s="2027">
        <f t="shared" si="37"/>
        <v>2.8999999999999998E-3</v>
      </c>
      <c r="N34" s="2027">
        <f t="shared" si="37"/>
        <v>8.3000000000000001E-3</v>
      </c>
      <c r="O34" s="2027"/>
      <c r="P34" s="2027">
        <f t="shared" si="51"/>
        <v>2.8999999999999998E-3</v>
      </c>
      <c r="Q34" s="2904"/>
      <c r="R34" s="2026"/>
      <c r="S34" s="2026">
        <f>ROUND(IF(项目基本情况!$B$8="出让",SUMPRODUCT(PRODUCT(1+L34:L$40)),SUMPRODUCT(PRODUCT(1+L34:L$39))),4)</f>
        <v>1.0241</v>
      </c>
      <c r="T34" s="2026">
        <f>ROUND(IF(项目基本情况!$B$8="出让",SUMPRODUCT(PRODUCT(1+M34:M$40)),SUMPRODUCT(PRODUCT(1+M34:M$39))),4)</f>
        <v>1.0144</v>
      </c>
      <c r="U34" s="2026">
        <f>ROUND(IF(项目基本情况!$B$8="出让",SUMPRODUCT(PRODUCT(1+N34:N$40)),SUMPRODUCT(PRODUCT(1+N34:N$39))),4)</f>
        <v>1.0467</v>
      </c>
      <c r="V34" s="2026"/>
      <c r="W34" s="2026">
        <f t="shared" si="52"/>
        <v>1.0144</v>
      </c>
      <c r="X34" s="2904"/>
      <c r="Y34" s="2027"/>
      <c r="Z34" s="2900">
        <f t="shared" si="53"/>
        <v>3.8999999999999998E-3</v>
      </c>
      <c r="AA34" s="2901">
        <f t="shared" si="53"/>
        <v>2.7000000000000001E-3</v>
      </c>
      <c r="AB34" s="2027">
        <f t="shared" si="53"/>
        <v>7.9000000000000008E-3</v>
      </c>
      <c r="AC34" s="2902"/>
      <c r="AD34" s="2027">
        <f t="shared" si="53"/>
        <v>2.7000000000000001E-3</v>
      </c>
    </row>
    <row r="35" spans="1:30" s="2044" customFormat="1" ht="12.75">
      <c r="A35" s="2903" t="s">
        <v>3357</v>
      </c>
      <c r="B35" s="2030">
        <v>2022</v>
      </c>
      <c r="C35" s="2041">
        <v>2</v>
      </c>
      <c r="D35" s="2006"/>
      <c r="E35" s="2006">
        <v>-0.11</v>
      </c>
      <c r="F35" s="2006">
        <v>-0.13</v>
      </c>
      <c r="G35" s="2006">
        <v>0.53</v>
      </c>
      <c r="H35" s="2915"/>
      <c r="I35" s="2007">
        <f t="shared" si="36"/>
        <v>-0.13</v>
      </c>
      <c r="J35" s="2904"/>
      <c r="K35" s="2042"/>
      <c r="L35" s="2027">
        <f t="shared" si="37"/>
        <v>-1.1000000000000001E-3</v>
      </c>
      <c r="M35" s="2027">
        <f t="shared" si="37"/>
        <v>-1.2999999999999999E-3</v>
      </c>
      <c r="N35" s="2027">
        <f t="shared" si="37"/>
        <v>5.3E-3</v>
      </c>
      <c r="O35" s="2027"/>
      <c r="P35" s="2027">
        <f t="shared" si="51"/>
        <v>-1.2999999999999999E-3</v>
      </c>
      <c r="Q35" s="2904"/>
      <c r="R35" s="2026"/>
      <c r="S35" s="2026">
        <f>ROUND(IF(项目基本情况!$B$8="出让",SUMPRODUCT(PRODUCT(1+L35:L$40)),SUMPRODUCT(PRODUCT(1+L35:L$39))),4)</f>
        <v>1.0210999999999999</v>
      </c>
      <c r="T35" s="2026">
        <f>ROUND(IF(项目基本情况!$B$8="出让",SUMPRODUCT(PRODUCT(1+M35:M$40)),SUMPRODUCT(PRODUCT(1+M35:M$39))),4)</f>
        <v>1.0114000000000001</v>
      </c>
      <c r="U35" s="2026">
        <f>ROUND(IF(项目基本情况!$B$8="出让",SUMPRODUCT(PRODUCT(1+N35:N$40)),SUMPRODUCT(PRODUCT(1+N35:N$39))),4)</f>
        <v>1.0381</v>
      </c>
      <c r="V35" s="2026"/>
      <c r="W35" s="2026">
        <f t="shared" si="52"/>
        <v>1.0114000000000001</v>
      </c>
      <c r="X35" s="2904"/>
      <c r="Y35" s="2027"/>
      <c r="Z35" s="2900">
        <f t="shared" si="53"/>
        <v>4.1000000000000003E-3</v>
      </c>
      <c r="AA35" s="2901">
        <f t="shared" si="53"/>
        <v>2.7000000000000001E-3</v>
      </c>
      <c r="AB35" s="2027">
        <f t="shared" si="53"/>
        <v>7.9000000000000008E-3</v>
      </c>
      <c r="AC35" s="2902"/>
      <c r="AD35" s="2027">
        <f t="shared" si="53"/>
        <v>2.7000000000000001E-3</v>
      </c>
    </row>
    <row r="36" spans="1:30" s="2044" customFormat="1" ht="12.75">
      <c r="A36" s="2903" t="s">
        <v>2838</v>
      </c>
      <c r="B36" s="2030">
        <v>2022</v>
      </c>
      <c r="C36" s="2041">
        <v>1</v>
      </c>
      <c r="D36" s="2006"/>
      <c r="E36" s="2006">
        <v>0.6</v>
      </c>
      <c r="F36" s="2006">
        <v>0.45</v>
      </c>
      <c r="G36" s="2006">
        <v>0.53</v>
      </c>
      <c r="H36" s="2915"/>
      <c r="I36" s="2007">
        <f t="shared" si="36"/>
        <v>0.45</v>
      </c>
      <c r="J36" s="2904"/>
      <c r="K36" s="2042"/>
      <c r="L36" s="2027">
        <f t="shared" si="37"/>
        <v>6.0000000000000001E-3</v>
      </c>
      <c r="M36" s="2027">
        <f t="shared" si="37"/>
        <v>4.5000000000000005E-3</v>
      </c>
      <c r="N36" s="2027">
        <f t="shared" si="37"/>
        <v>5.3E-3</v>
      </c>
      <c r="O36" s="2027"/>
      <c r="P36" s="2027">
        <f t="shared" si="51"/>
        <v>4.5000000000000005E-3</v>
      </c>
      <c r="Q36" s="2904"/>
      <c r="R36" s="2026"/>
      <c r="S36" s="2026">
        <f>ROUND(IF(项目基本情况!$B$8="出让",SUMPRODUCT(PRODUCT(1+L36:L$40)),SUMPRODUCT(PRODUCT(1+L36:L$39))),4)</f>
        <v>1.0222</v>
      </c>
      <c r="T36" s="2026">
        <f>ROUND(IF(项目基本情况!$B$8="出让",SUMPRODUCT(PRODUCT(1+M36:M$40)),SUMPRODUCT(PRODUCT(1+M36:M$39))),4)</f>
        <v>1.0127999999999999</v>
      </c>
      <c r="U36" s="2026">
        <f>ROUND(IF(项目基本情况!$B$8="出让",SUMPRODUCT(PRODUCT(1+N36:N$40)),SUMPRODUCT(PRODUCT(1+N36:N$39))),4)</f>
        <v>1.0326</v>
      </c>
      <c r="V36" s="2026"/>
      <c r="W36" s="2026">
        <f t="shared" si="52"/>
        <v>1.0127999999999999</v>
      </c>
      <c r="X36" s="2904"/>
      <c r="Y36" s="2027"/>
      <c r="Z36" s="2900">
        <f t="shared" si="53"/>
        <v>5.1000000000000004E-3</v>
      </c>
      <c r="AA36" s="2901">
        <f t="shared" si="53"/>
        <v>3.5000000000000001E-3</v>
      </c>
      <c r="AB36" s="2027">
        <f t="shared" si="53"/>
        <v>8.3999999999999995E-3</v>
      </c>
      <c r="AC36" s="2902"/>
      <c r="AD36" s="2027">
        <f t="shared" si="53"/>
        <v>3.5000000000000001E-3</v>
      </c>
    </row>
    <row r="37" spans="1:30" s="2044" customFormat="1" ht="12.75">
      <c r="A37" s="2903" t="s">
        <v>2839</v>
      </c>
      <c r="B37" s="2030">
        <v>2021</v>
      </c>
      <c r="C37" s="2041">
        <v>4</v>
      </c>
      <c r="D37" s="2006"/>
      <c r="E37" s="2006">
        <v>0.57999999999999996</v>
      </c>
      <c r="F37" s="2006">
        <v>0.08</v>
      </c>
      <c r="G37" s="2006">
        <v>0.68</v>
      </c>
      <c r="H37" s="2915"/>
      <c r="I37" s="2007">
        <f t="shared" si="36"/>
        <v>0.08</v>
      </c>
      <c r="J37" s="2904"/>
      <c r="K37" s="2042"/>
      <c r="L37" s="2027">
        <f t="shared" si="37"/>
        <v>5.7999999999999996E-3</v>
      </c>
      <c r="M37" s="2027">
        <f t="shared" si="37"/>
        <v>8.0000000000000004E-4</v>
      </c>
      <c r="N37" s="2027">
        <f t="shared" si="37"/>
        <v>6.8000000000000005E-3</v>
      </c>
      <c r="O37" s="2027"/>
      <c r="P37" s="2027">
        <f t="shared" si="51"/>
        <v>8.0000000000000004E-4</v>
      </c>
      <c r="Q37" s="2904"/>
      <c r="R37" s="2026"/>
      <c r="S37" s="2026">
        <f>ROUND(IF(项目基本情况!$B$8="出让",SUMPRODUCT(PRODUCT(1+L37:L$40)),SUMPRODUCT(PRODUCT(1+L37:L$39))),4)</f>
        <v>1.0161</v>
      </c>
      <c r="T37" s="2026">
        <f>ROUND(IF(项目基本情况!$B$8="出让",SUMPRODUCT(PRODUCT(1+M37:M$40)),SUMPRODUCT(PRODUCT(1+M37:M$39))),4)</f>
        <v>1.0082</v>
      </c>
      <c r="U37" s="2026">
        <f>ROUND(IF(项目基本情况!$B$8="出让",SUMPRODUCT(PRODUCT(1+N37:N$40)),SUMPRODUCT(PRODUCT(1+N37:N$39))),4)</f>
        <v>1.0270999999999999</v>
      </c>
      <c r="V37" s="2026"/>
      <c r="W37" s="2026">
        <f t="shared" si="52"/>
        <v>1.0082</v>
      </c>
      <c r="X37" s="2904"/>
      <c r="Y37" s="2027"/>
      <c r="Z37" s="2900">
        <f t="shared" si="53"/>
        <v>4.8999999999999998E-3</v>
      </c>
      <c r="AA37" s="2901">
        <f t="shared" si="53"/>
        <v>3.3E-3</v>
      </c>
      <c r="AB37" s="2027">
        <f t="shared" si="53"/>
        <v>9.1999999999999998E-3</v>
      </c>
      <c r="AC37" s="2902"/>
      <c r="AD37" s="2027">
        <f t="shared" si="53"/>
        <v>3.3E-3</v>
      </c>
    </row>
    <row r="38" spans="1:30" s="2044" customFormat="1" ht="12.75">
      <c r="A38" s="2903" t="s">
        <v>2840</v>
      </c>
      <c r="B38" s="2030">
        <v>2021</v>
      </c>
      <c r="C38" s="2041">
        <v>3</v>
      </c>
      <c r="D38" s="2006"/>
      <c r="E38" s="2006">
        <v>0.47</v>
      </c>
      <c r="F38" s="2006">
        <v>0.28000000000000003</v>
      </c>
      <c r="G38" s="2006">
        <v>0.91</v>
      </c>
      <c r="H38" s="2915"/>
      <c r="I38" s="2007">
        <f t="shared" si="36"/>
        <v>0.28000000000000003</v>
      </c>
      <c r="J38" s="2904"/>
      <c r="K38" s="2042"/>
      <c r="L38" s="2027">
        <f t="shared" si="37"/>
        <v>4.6999999999999993E-3</v>
      </c>
      <c r="M38" s="2027">
        <f t="shared" si="37"/>
        <v>2.8000000000000004E-3</v>
      </c>
      <c r="N38" s="2027">
        <f t="shared" si="37"/>
        <v>9.1000000000000004E-3</v>
      </c>
      <c r="O38" s="2027"/>
      <c r="P38" s="2027">
        <f t="shared" si="51"/>
        <v>2.8000000000000004E-3</v>
      </c>
      <c r="Q38" s="2904"/>
      <c r="R38" s="2026"/>
      <c r="S38" s="2026">
        <f>ROUND(IF(项目基本情况!$B$8="出让",SUMPRODUCT(PRODUCT(1+L38:L$40)),SUMPRODUCT(PRODUCT(1+L38:L$39))),4)</f>
        <v>1.0102</v>
      </c>
      <c r="T38" s="2026">
        <f>ROUND(IF(项目基本情况!$B$8="出让",SUMPRODUCT(PRODUCT(1+M38:M$40)),SUMPRODUCT(PRODUCT(1+M38:M$39))),4)</f>
        <v>1.0074000000000001</v>
      </c>
      <c r="U38" s="2026">
        <f>ROUND(IF(项目基本情况!$B$8="出让",SUMPRODUCT(PRODUCT(1+N38:N$40)),SUMPRODUCT(PRODUCT(1+N38:N$39))),4)</f>
        <v>1.0202</v>
      </c>
      <c r="V38" s="2026"/>
      <c r="W38" s="2026">
        <f t="shared" si="52"/>
        <v>1.0074000000000001</v>
      </c>
      <c r="X38" s="2904"/>
      <c r="Y38" s="2027"/>
      <c r="Z38" s="2900">
        <f t="shared" si="53"/>
        <v>4.5999999999999999E-3</v>
      </c>
      <c r="AA38" s="2901">
        <f t="shared" si="53"/>
        <v>4.1000000000000003E-3</v>
      </c>
      <c r="AB38" s="2027">
        <f t="shared" si="53"/>
        <v>0.01</v>
      </c>
      <c r="AC38" s="2902"/>
      <c r="AD38" s="2027">
        <f t="shared" si="53"/>
        <v>4.1000000000000003E-3</v>
      </c>
    </row>
    <row r="39" spans="1:30" s="2044" customFormat="1" ht="12.75">
      <c r="A39" s="2903" t="s">
        <v>2841</v>
      </c>
      <c r="B39" s="2030">
        <v>2021</v>
      </c>
      <c r="C39" s="2041">
        <v>2</v>
      </c>
      <c r="D39" s="2006"/>
      <c r="E39" s="2006">
        <v>0.55000000000000004</v>
      </c>
      <c r="F39" s="2006">
        <v>0.46</v>
      </c>
      <c r="G39" s="2006">
        <v>1.1000000000000001</v>
      </c>
      <c r="H39" s="2915"/>
      <c r="I39" s="2007">
        <f t="shared" si="36"/>
        <v>0.46</v>
      </c>
      <c r="J39" s="2904"/>
      <c r="K39" s="2042"/>
      <c r="L39" s="2027">
        <f t="shared" si="37"/>
        <v>5.5000000000000005E-3</v>
      </c>
      <c r="M39" s="2027">
        <f t="shared" si="37"/>
        <v>4.5999999999999999E-3</v>
      </c>
      <c r="N39" s="2027">
        <f t="shared" si="37"/>
        <v>1.1000000000000001E-2</v>
      </c>
      <c r="O39" s="2027"/>
      <c r="P39" s="2027">
        <f t="shared" si="51"/>
        <v>4.5999999999999999E-3</v>
      </c>
      <c r="Q39" s="2904"/>
      <c r="R39" s="2026"/>
      <c r="S39" s="2026">
        <f>ROUND(IF(项目基本情况!$B$8="出让",SUMPRODUCT(PRODUCT(1+L39:L$40)),SUMPRODUCT(PRODUCT(1+L39:L$39))),4)</f>
        <v>1.0055000000000001</v>
      </c>
      <c r="T39" s="2026">
        <f>ROUND(IF(项目基本情况!$B$8="出让",SUMPRODUCT(PRODUCT(1+M39:M$40)),SUMPRODUCT(PRODUCT(1+M39:M$39))),4)</f>
        <v>1.0045999999999999</v>
      </c>
      <c r="U39" s="2026">
        <f>ROUND(IF(项目基本情况!$B$8="出让",SUMPRODUCT(PRODUCT(1+N39:N$40)),SUMPRODUCT(PRODUCT(1+N39:N$39))),4)</f>
        <v>1.0109999999999999</v>
      </c>
      <c r="V39" s="2026"/>
      <c r="W39" s="2026">
        <f t="shared" si="52"/>
        <v>1.0045999999999999</v>
      </c>
      <c r="X39" s="2904"/>
      <c r="Y39" s="2027"/>
      <c r="Z39" s="2900">
        <f t="shared" si="53"/>
        <v>4.4999999999999997E-3</v>
      </c>
      <c r="AA39" s="2901">
        <f t="shared" si="53"/>
        <v>4.7000000000000002E-3</v>
      </c>
      <c r="AB39" s="2027">
        <f t="shared" si="53"/>
        <v>1.04E-2</v>
      </c>
      <c r="AC39" s="2902"/>
      <c r="AD39" s="2027">
        <f t="shared" si="53"/>
        <v>4.7000000000000002E-3</v>
      </c>
    </row>
    <row r="40" spans="1:30" s="2926" customFormat="1" thickBot="1">
      <c r="A40" s="2916" t="s">
        <v>2827</v>
      </c>
      <c r="B40" s="2917">
        <v>2021</v>
      </c>
      <c r="C40" s="2918">
        <v>1</v>
      </c>
      <c r="D40" s="2919"/>
      <c r="E40" s="2919">
        <v>0.35</v>
      </c>
      <c r="F40" s="2919">
        <v>0.48</v>
      </c>
      <c r="G40" s="2919">
        <v>0.98</v>
      </c>
      <c r="H40" s="2920"/>
      <c r="I40" s="2921">
        <f t="shared" si="36"/>
        <v>0.48</v>
      </c>
      <c r="J40" s="2922"/>
      <c r="K40" s="2923"/>
      <c r="L40" s="2924">
        <f t="shared" si="37"/>
        <v>3.4999999999999996E-3</v>
      </c>
      <c r="M40" s="2924">
        <f>F40/100</f>
        <v>4.7999999999999996E-3</v>
      </c>
      <c r="N40" s="2924">
        <f t="shared" si="37"/>
        <v>9.7999999999999997E-3</v>
      </c>
      <c r="O40" s="2924"/>
      <c r="P40" s="2924">
        <f t="shared" si="51"/>
        <v>4.7999999999999996E-3</v>
      </c>
      <c r="Q40" s="2922"/>
      <c r="R40" s="2925"/>
      <c r="S40" s="2925">
        <v>1</v>
      </c>
      <c r="T40" s="2925">
        <v>1</v>
      </c>
      <c r="U40" s="2925">
        <v>1</v>
      </c>
      <c r="V40" s="2925"/>
      <c r="W40" s="2925">
        <f t="shared" si="52"/>
        <v>1</v>
      </c>
      <c r="X40" s="2922"/>
      <c r="Y40" s="2924"/>
      <c r="Z40" s="2932">
        <f t="shared" si="53"/>
        <v>3.5000000000000001E-3</v>
      </c>
      <c r="AA40" s="2933">
        <f t="shared" si="53"/>
        <v>4.7999999999999996E-3</v>
      </c>
      <c r="AB40" s="2924">
        <f t="shared" si="53"/>
        <v>9.7999999999999997E-3</v>
      </c>
      <c r="AC40" s="2934"/>
      <c r="AD40" s="2924">
        <f t="shared" si="53"/>
        <v>4.7999999999999996E-3</v>
      </c>
    </row>
    <row r="41" spans="1:30" ht="14.25" thickTop="1"/>
    <row r="42" spans="1:30">
      <c r="A42" s="3141" t="s">
        <v>3369</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503" t="s">
        <v>452</v>
      </c>
      <c r="C1" s="3503"/>
      <c r="D1" s="3503"/>
      <c r="E1" s="3503"/>
      <c r="F1" s="3503"/>
      <c r="G1" s="3499" t="s">
        <v>453</v>
      </c>
      <c r="H1" s="3499"/>
      <c r="I1" s="3499"/>
      <c r="J1" s="3499"/>
      <c r="K1" s="3499"/>
      <c r="L1" s="3499"/>
      <c r="N1" s="3499" t="s">
        <v>454</v>
      </c>
      <c r="O1" s="3499"/>
      <c r="P1" s="3499"/>
      <c r="Q1" s="3499"/>
      <c r="S1" s="3499" t="s">
        <v>455</v>
      </c>
      <c r="T1" s="3499"/>
      <c r="U1" s="3499"/>
      <c r="V1" s="3499"/>
      <c r="X1" s="3498" t="s">
        <v>456</v>
      </c>
      <c r="Y1" s="3499"/>
      <c r="Z1" s="3499"/>
      <c r="AA1" s="3499"/>
      <c r="AB1" s="3499"/>
      <c r="AD1" s="3498" t="s">
        <v>457</v>
      </c>
      <c r="AE1" s="3499"/>
      <c r="AF1" s="3499"/>
      <c r="AG1" s="3499"/>
      <c r="AH1" s="3499"/>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3365</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3362</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3363</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3364</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2312</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2311</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501">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501"/>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501"/>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08"/>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504">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501"/>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501"/>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08"/>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04">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501"/>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501"/>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502"/>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500">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501"/>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501"/>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502"/>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500">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501"/>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501"/>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502"/>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505">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06"/>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06"/>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07"/>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500">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501"/>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501"/>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502"/>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500">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501">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501">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502">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500">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501">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501">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502">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500">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501">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501">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502">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500">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501">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501">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502">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500">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501">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501">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502">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500">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501">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501">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502">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500">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501">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501">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502">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500">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501">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501">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502">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500">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501">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501">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502">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500">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501">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501">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502">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45247</v>
      </c>
      <c r="D1" s="1217" t="s">
        <v>603</v>
      </c>
      <c r="E1" s="1212">
        <f>'数据-取费表'!B22</f>
        <v>2</v>
      </c>
      <c r="F1" s="1217" t="s">
        <v>604</v>
      </c>
      <c r="G1" s="1213">
        <f ca="1">INDIRECT("d"&amp;$K$1)/100</f>
        <v>3.4500000000000003E-2</v>
      </c>
      <c r="H1" s="1217" t="s">
        <v>634</v>
      </c>
      <c r="I1" s="1213">
        <f ca="1">F4/100</f>
        <v>1.4999999999999999E-2</v>
      </c>
      <c r="J1" s="1218">
        <f>IF(C1&gt;C13,0,MATCH(C1,C$13:C$111,-1))+IF(SUMIF(C13:C111,C1,D13:D111)=0,13,12)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3.45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3.45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3.45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3.45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4.2</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3">
        <v>45159</v>
      </c>
      <c r="D13" s="1201">
        <v>3.45</v>
      </c>
      <c r="E13" s="1201">
        <f>D13</f>
        <v>3.45</v>
      </c>
      <c r="F13" s="1201">
        <f>D13</f>
        <v>3.45</v>
      </c>
      <c r="G13" s="1201">
        <f>D13</f>
        <v>3.45</v>
      </c>
      <c r="H13" s="1201">
        <v>4.2</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45097</v>
      </c>
      <c r="D14" s="1205">
        <v>3.55</v>
      </c>
      <c r="E14" s="1205">
        <f>D14</f>
        <v>3.55</v>
      </c>
      <c r="F14" s="1205">
        <f>D14</f>
        <v>3.55</v>
      </c>
      <c r="G14" s="1205">
        <f>D14</f>
        <v>3.55</v>
      </c>
      <c r="H14" s="1205">
        <v>4.2</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44795</v>
      </c>
      <c r="D15" s="1205">
        <v>3.65</v>
      </c>
      <c r="E15" s="1205">
        <v>3.65</v>
      </c>
      <c r="F15" s="1205">
        <v>3.65</v>
      </c>
      <c r="G15" s="1205">
        <v>3.65</v>
      </c>
      <c r="H15" s="1205">
        <v>4.3</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44701</v>
      </c>
      <c r="D16" s="1205">
        <v>3.7</v>
      </c>
      <c r="E16" s="1205">
        <f>D16</f>
        <v>3.7</v>
      </c>
      <c r="F16" s="1205">
        <f>D16</f>
        <v>3.7</v>
      </c>
      <c r="G16" s="1205">
        <f>D16</f>
        <v>3.7</v>
      </c>
      <c r="H16" s="1205">
        <v>4.45</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44581</v>
      </c>
      <c r="D17" s="1205">
        <v>3.7</v>
      </c>
      <c r="E17" s="1205">
        <f>D17</f>
        <v>3.7</v>
      </c>
      <c r="F17" s="1205">
        <f>D17</f>
        <v>3.7</v>
      </c>
      <c r="G17" s="1205">
        <f>D17</f>
        <v>3.7</v>
      </c>
      <c r="H17" s="1205">
        <v>4.5999999999999996</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44550</v>
      </c>
      <c r="D18" s="1205">
        <v>3.8</v>
      </c>
      <c r="E18" s="1205">
        <f>D18</f>
        <v>3.8</v>
      </c>
      <c r="F18" s="1205">
        <f>D18</f>
        <v>3.8</v>
      </c>
      <c r="G18" s="1205">
        <f>D18</f>
        <v>3.8</v>
      </c>
      <c r="H18" s="1205">
        <v>4.6500000000000004</v>
      </c>
      <c r="I18" s="1205"/>
      <c r="J18" s="1201"/>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4.25">
      <c r="A19" s="1199"/>
      <c r="B19" s="1205"/>
      <c r="C19" s="1206">
        <v>43941</v>
      </c>
      <c r="D19" s="1205">
        <v>3.85</v>
      </c>
      <c r="E19" s="1205">
        <v>3.85</v>
      </c>
      <c r="F19" s="1205">
        <v>3.85</v>
      </c>
      <c r="G19" s="1205">
        <v>3.85</v>
      </c>
      <c r="H19" s="1205">
        <v>4.6500000000000004</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43881</v>
      </c>
      <c r="D20" s="1205">
        <v>4.05</v>
      </c>
      <c r="E20" s="1205">
        <v>4.05</v>
      </c>
      <c r="F20" s="1205">
        <v>4.05</v>
      </c>
      <c r="G20" s="1205">
        <v>4.05</v>
      </c>
      <c r="H20" s="1205">
        <v>4.75</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43789</v>
      </c>
      <c r="D21" s="1205">
        <v>4.1500000000000004</v>
      </c>
      <c r="E21" s="1205">
        <v>4.1500000000000004</v>
      </c>
      <c r="F21" s="1205">
        <v>4.1500000000000004</v>
      </c>
      <c r="G21" s="1205">
        <v>4.1500000000000004</v>
      </c>
      <c r="H21" s="1205">
        <v>4.8</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43728</v>
      </c>
      <c r="D22" s="1205">
        <v>4.2</v>
      </c>
      <c r="E22" s="1205">
        <v>4.2</v>
      </c>
      <c r="F22" s="1205">
        <v>4.2</v>
      </c>
      <c r="G22" s="1205">
        <v>4.2</v>
      </c>
      <c r="H22" s="1205">
        <v>4.8499999999999996</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4"/>
      <c r="B23" s="1200" t="s">
        <v>2313</v>
      </c>
      <c r="C23" s="1207">
        <v>43697</v>
      </c>
      <c r="D23" s="2572">
        <v>4.25</v>
      </c>
      <c r="E23" s="2572">
        <v>4.25</v>
      </c>
      <c r="F23" s="2572">
        <v>4.25</v>
      </c>
      <c r="G23" s="2572">
        <v>4.25</v>
      </c>
      <c r="H23" s="2572">
        <v>4.8499999999999996</v>
      </c>
      <c r="I23" s="2572"/>
      <c r="J23" s="2572"/>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ht="14.25">
      <c r="B24" s="2575"/>
      <c r="C24" s="2576">
        <v>42301</v>
      </c>
      <c r="D24" s="2577">
        <v>4.3499999999999996</v>
      </c>
      <c r="E24" s="2577">
        <v>4.3499999999999996</v>
      </c>
      <c r="F24" s="2577">
        <v>4.75</v>
      </c>
      <c r="G24" s="2577">
        <v>4.75</v>
      </c>
      <c r="H24" s="2577">
        <v>4.9000000000000004</v>
      </c>
      <c r="I24" s="2577"/>
      <c r="J24" s="2577"/>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42242</v>
      </c>
      <c r="D25" s="1205">
        <v>4.5999999999999996</v>
      </c>
      <c r="E25" s="1205">
        <v>4.5999999999999996</v>
      </c>
      <c r="F25" s="1205">
        <v>5</v>
      </c>
      <c r="G25" s="1205">
        <v>5</v>
      </c>
      <c r="H25" s="1205">
        <v>5.15</v>
      </c>
      <c r="I25" s="1205">
        <v>2.75</v>
      </c>
      <c r="J25" s="1205">
        <v>3.25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42183</v>
      </c>
      <c r="D26" s="1205">
        <v>4.8499999999999996</v>
      </c>
      <c r="E26" s="1205">
        <v>4.8499999999999996</v>
      </c>
      <c r="F26" s="1205">
        <v>5.25</v>
      </c>
      <c r="G26" s="1205">
        <v>5.25</v>
      </c>
      <c r="H26" s="1205">
        <v>5.4</v>
      </c>
      <c r="I26" s="1205">
        <v>3</v>
      </c>
      <c r="J26" s="1205">
        <v>3.5</v>
      </c>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42135</v>
      </c>
      <c r="D27" s="1205">
        <v>5.0999999999999996</v>
      </c>
      <c r="E27" s="1205">
        <v>5.0999999999999996</v>
      </c>
      <c r="F27" s="1205">
        <v>5.5</v>
      </c>
      <c r="G27" s="1205">
        <v>5.5</v>
      </c>
      <c r="H27" s="1205">
        <v>5.65</v>
      </c>
      <c r="I27" s="1205">
        <v>3.25</v>
      </c>
      <c r="J27" s="1205">
        <v>3.75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42064</v>
      </c>
      <c r="D28" s="1205">
        <v>5.35</v>
      </c>
      <c r="E28" s="1205">
        <v>5.35</v>
      </c>
      <c r="F28" s="1205">
        <v>5.75</v>
      </c>
      <c r="G28" s="1205">
        <v>5.75</v>
      </c>
      <c r="H28" s="1205">
        <v>5.9</v>
      </c>
      <c r="I28" s="1205"/>
      <c r="J28" s="1205"/>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41965</v>
      </c>
      <c r="D29" s="1205">
        <v>5.6</v>
      </c>
      <c r="E29" s="1205">
        <v>5.6</v>
      </c>
      <c r="F29" s="1205">
        <v>6</v>
      </c>
      <c r="G29" s="1205">
        <v>6</v>
      </c>
      <c r="H29" s="1205">
        <v>6.15</v>
      </c>
      <c r="I29" s="1205"/>
      <c r="J29" s="1205"/>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41096</v>
      </c>
      <c r="D30" s="1205">
        <v>5.6</v>
      </c>
      <c r="E30" s="1205">
        <v>6</v>
      </c>
      <c r="F30" s="1205">
        <v>6.15</v>
      </c>
      <c r="G30" s="1205">
        <v>6.4</v>
      </c>
      <c r="H30" s="1205">
        <v>6.55</v>
      </c>
      <c r="I30" s="1205">
        <v>4</v>
      </c>
      <c r="J30" s="1205">
        <v>4.5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41068</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40731</v>
      </c>
      <c r="D32" s="1205">
        <v>6.1</v>
      </c>
      <c r="E32" s="1205">
        <v>6.56</v>
      </c>
      <c r="F32" s="1205">
        <v>6.65</v>
      </c>
      <c r="G32" s="1205">
        <v>6.9</v>
      </c>
      <c r="H32" s="1205">
        <v>7.05</v>
      </c>
      <c r="I32" s="1205">
        <v>4.45</v>
      </c>
      <c r="J32" s="1205">
        <v>4.9000000000000004</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40639</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40583</v>
      </c>
      <c r="D34" s="1205">
        <v>5.6</v>
      </c>
      <c r="E34" s="1205">
        <v>6.06</v>
      </c>
      <c r="F34" s="1205">
        <v>6.1</v>
      </c>
      <c r="G34" s="1205">
        <v>6.45</v>
      </c>
      <c r="H34" s="1205">
        <v>6.6</v>
      </c>
      <c r="I34" s="1205">
        <v>4</v>
      </c>
      <c r="J34" s="1205">
        <v>4.5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40538</v>
      </c>
      <c r="D35" s="1205">
        <v>5.35</v>
      </c>
      <c r="E35" s="1205">
        <v>5.81</v>
      </c>
      <c r="F35" s="1205">
        <v>5.85</v>
      </c>
      <c r="G35" s="1205">
        <v>6.22</v>
      </c>
      <c r="H35" s="1205">
        <v>6.4</v>
      </c>
      <c r="I35" s="1205">
        <v>3.75</v>
      </c>
      <c r="J35" s="1205">
        <v>4.3</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40471</v>
      </c>
      <c r="D36" s="1205">
        <v>5.0999999999999996</v>
      </c>
      <c r="E36" s="1205">
        <v>5.56</v>
      </c>
      <c r="F36" s="1205">
        <v>5.6</v>
      </c>
      <c r="G36" s="1205">
        <v>5.96</v>
      </c>
      <c r="H36" s="1205">
        <v>6.14</v>
      </c>
      <c r="I36" s="1205">
        <v>3.5</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39805</v>
      </c>
      <c r="D37" s="1205">
        <v>4.8600000000000003</v>
      </c>
      <c r="E37" s="1205">
        <v>5.31</v>
      </c>
      <c r="F37" s="1205">
        <v>5.4</v>
      </c>
      <c r="G37" s="1205">
        <v>5.76</v>
      </c>
      <c r="H37" s="1205">
        <v>5.94</v>
      </c>
      <c r="I37" s="1205">
        <v>3.33</v>
      </c>
      <c r="J37" s="1205">
        <v>3.87</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39779</v>
      </c>
      <c r="D38" s="1205">
        <v>5.04</v>
      </c>
      <c r="E38" s="1205">
        <v>5.58</v>
      </c>
      <c r="F38" s="1205">
        <v>5.67</v>
      </c>
      <c r="G38" s="1205">
        <v>5.94</v>
      </c>
      <c r="H38" s="1205">
        <v>6.12</v>
      </c>
      <c r="I38" s="1205">
        <v>3.51</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39751</v>
      </c>
      <c r="D39" s="1205">
        <v>6.03</v>
      </c>
      <c r="E39" s="1205">
        <v>6.66</v>
      </c>
      <c r="F39" s="1205">
        <v>6.75</v>
      </c>
      <c r="G39" s="1205">
        <v>7.02</v>
      </c>
      <c r="H39" s="1205">
        <v>7.2</v>
      </c>
      <c r="I39" s="1205">
        <v>4.05</v>
      </c>
      <c r="J39" s="1205">
        <v>4.59</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7">
        <v>39748</v>
      </c>
      <c r="D40" s="1205">
        <v>6.12</v>
      </c>
      <c r="E40" s="1205">
        <v>6.93</v>
      </c>
      <c r="F40" s="1205">
        <v>7.02</v>
      </c>
      <c r="G40" s="1205">
        <v>7.29</v>
      </c>
      <c r="H40" s="1205">
        <v>7.47</v>
      </c>
      <c r="I40" s="1205">
        <v>4.05</v>
      </c>
      <c r="J40" s="1205">
        <v>4.59</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39730</v>
      </c>
      <c r="D41" s="1205">
        <v>6.12</v>
      </c>
      <c r="E41" s="1205">
        <v>6.93</v>
      </c>
      <c r="F41" s="1205">
        <v>7.02</v>
      </c>
      <c r="G41" s="1205">
        <v>7.29</v>
      </c>
      <c r="H41" s="1205">
        <v>7.47</v>
      </c>
      <c r="I41" s="1205">
        <v>4.32</v>
      </c>
      <c r="J41" s="1205">
        <v>4.8600000000000003</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39707</v>
      </c>
      <c r="D42" s="1205">
        <v>6.21</v>
      </c>
      <c r="E42" s="1205">
        <v>7.2</v>
      </c>
      <c r="F42" s="1205">
        <v>7.29</v>
      </c>
      <c r="G42" s="1205">
        <v>7.56</v>
      </c>
      <c r="H42" s="1205">
        <v>7.74</v>
      </c>
      <c r="I42" s="1205">
        <v>4.59</v>
      </c>
      <c r="J42" s="1205">
        <v>5.13</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39437</v>
      </c>
      <c r="D43" s="1205">
        <v>6.57</v>
      </c>
      <c r="E43" s="1205">
        <v>7.47</v>
      </c>
      <c r="F43" s="1205">
        <v>7.56</v>
      </c>
      <c r="G43" s="1205">
        <v>7.74</v>
      </c>
      <c r="H43" s="1205">
        <v>7.83</v>
      </c>
      <c r="I43" s="1205">
        <v>4.7699999999999996</v>
      </c>
      <c r="J43" s="1205">
        <v>5.22</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39340</v>
      </c>
      <c r="D44" s="1205">
        <v>6.48</v>
      </c>
      <c r="E44" s="1205">
        <v>7.29</v>
      </c>
      <c r="F44" s="1205">
        <v>7.47</v>
      </c>
      <c r="G44" s="1205">
        <v>7.65</v>
      </c>
      <c r="H44" s="1205">
        <v>7.83</v>
      </c>
      <c r="I44" s="1205">
        <v>4.7699999999999996</v>
      </c>
      <c r="J44" s="1205">
        <v>5.22</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39316</v>
      </c>
      <c r="D45" s="1205">
        <v>6.21</v>
      </c>
      <c r="E45" s="1205">
        <v>7.02</v>
      </c>
      <c r="F45" s="1205">
        <v>7.2</v>
      </c>
      <c r="G45" s="1205">
        <v>7.38</v>
      </c>
      <c r="H45" s="1205">
        <v>7.56</v>
      </c>
      <c r="I45" s="1205">
        <v>4.59</v>
      </c>
      <c r="J45" s="1205">
        <v>5.04</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39284</v>
      </c>
      <c r="D46" s="1205">
        <v>6.03</v>
      </c>
      <c r="E46" s="1205">
        <v>6.84</v>
      </c>
      <c r="F46" s="1205">
        <v>7.02</v>
      </c>
      <c r="G46" s="1205">
        <v>7.2</v>
      </c>
      <c r="H46" s="1205">
        <v>7.38</v>
      </c>
      <c r="I46" s="1205">
        <v>4.5</v>
      </c>
      <c r="J46" s="1205">
        <v>4.95</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39221</v>
      </c>
      <c r="D47" s="1205">
        <v>5.85</v>
      </c>
      <c r="E47" s="1205">
        <v>6.57</v>
      </c>
      <c r="F47" s="1205">
        <v>6.75</v>
      </c>
      <c r="G47" s="1205">
        <v>6.93</v>
      </c>
      <c r="H47" s="1205">
        <v>7.2</v>
      </c>
      <c r="I47" s="1205">
        <v>4.41</v>
      </c>
      <c r="J47" s="1205">
        <v>4.8600000000000003</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39159</v>
      </c>
      <c r="D48" s="1205">
        <v>5.67</v>
      </c>
      <c r="E48" s="1205">
        <v>6.39</v>
      </c>
      <c r="F48" s="1205">
        <v>6.57</v>
      </c>
      <c r="G48" s="1205">
        <v>6.75</v>
      </c>
      <c r="H48" s="1205">
        <v>7.11</v>
      </c>
      <c r="I48" s="1205">
        <v>4.32</v>
      </c>
      <c r="J48" s="1205">
        <v>4.7699999999999996</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38948</v>
      </c>
      <c r="D49" s="1205">
        <v>5.58</v>
      </c>
      <c r="E49" s="1205">
        <v>6.12</v>
      </c>
      <c r="F49" s="1205">
        <v>6.3</v>
      </c>
      <c r="G49" s="1205">
        <v>6.48</v>
      </c>
      <c r="H49" s="1205">
        <v>6.84</v>
      </c>
      <c r="I49" s="1205">
        <v>4.1399999999999997</v>
      </c>
      <c r="J49" s="1205">
        <v>4.59</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38835</v>
      </c>
      <c r="D50" s="1205">
        <v>5.4</v>
      </c>
      <c r="E50" s="1205">
        <v>5.85</v>
      </c>
      <c r="F50" s="1205">
        <v>6.03</v>
      </c>
      <c r="G50" s="1205">
        <v>6.12</v>
      </c>
      <c r="H50" s="1205">
        <v>6.39</v>
      </c>
      <c r="I50" s="1205">
        <v>4.1399999999999997</v>
      </c>
      <c r="J50" s="1205">
        <v>4.59</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38428</v>
      </c>
      <c r="D51" s="1205">
        <v>5.22</v>
      </c>
      <c r="E51" s="1205">
        <v>5.58</v>
      </c>
      <c r="F51" s="1205">
        <v>5.76</v>
      </c>
      <c r="G51" s="1205">
        <v>5.85</v>
      </c>
      <c r="H51" s="1205">
        <v>6.12</v>
      </c>
      <c r="I51" s="1205">
        <v>3.96</v>
      </c>
      <c r="J51" s="1205">
        <v>4.41</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38289</v>
      </c>
      <c r="D52" s="1205">
        <v>5.22</v>
      </c>
      <c r="E52" s="1205">
        <v>5.58</v>
      </c>
      <c r="F52" s="1205">
        <v>5.76</v>
      </c>
      <c r="G52" s="1205">
        <v>5.85</v>
      </c>
      <c r="H52" s="1205">
        <v>6.12</v>
      </c>
      <c r="I52" s="1205">
        <v>3.78</v>
      </c>
      <c r="J52" s="1205">
        <v>4.2300000000000004</v>
      </c>
      <c r="L52" s="1205"/>
      <c r="M52" s="1206"/>
      <c r="N52" s="1205"/>
      <c r="O52" s="1205"/>
      <c r="P52" s="1205"/>
      <c r="Q52" s="1205"/>
      <c r="R52" s="1205"/>
      <c r="S52" s="1205"/>
      <c r="T52" s="1205"/>
      <c r="U52" s="1205"/>
      <c r="V52" s="1205"/>
      <c r="W52" s="1205"/>
      <c r="X52" s="1205"/>
      <c r="Y52" s="1205"/>
      <c r="Z52" s="1205"/>
    </row>
    <row r="53" spans="2:26">
      <c r="B53" s="1205"/>
      <c r="C53" s="1206">
        <v>37308</v>
      </c>
      <c r="D53" s="1205">
        <v>5.04</v>
      </c>
      <c r="E53" s="1205">
        <v>5.31</v>
      </c>
      <c r="F53" s="1205">
        <v>5.49</v>
      </c>
      <c r="G53" s="1205">
        <v>5.58</v>
      </c>
      <c r="H53" s="1205">
        <v>5.76</v>
      </c>
      <c r="I53" s="1205">
        <v>3.6</v>
      </c>
      <c r="J53" s="1205">
        <v>4.05</v>
      </c>
      <c r="L53" s="1205"/>
      <c r="M53" s="1206"/>
      <c r="N53" s="1205"/>
      <c r="O53" s="1205"/>
      <c r="P53" s="1205"/>
      <c r="Q53" s="1205"/>
      <c r="R53" s="1205"/>
      <c r="S53" s="1205"/>
      <c r="T53" s="1205"/>
      <c r="U53" s="1205"/>
      <c r="V53" s="1205"/>
      <c r="W53" s="1205"/>
      <c r="X53" s="1205"/>
      <c r="Y53" s="1205"/>
      <c r="Z53" s="1205"/>
    </row>
    <row r="54" spans="2:26">
      <c r="B54" s="1205"/>
      <c r="C54" s="1206">
        <v>36321</v>
      </c>
      <c r="D54" s="1205">
        <v>5.58</v>
      </c>
      <c r="E54" s="1205">
        <v>5.85</v>
      </c>
      <c r="F54" s="1205">
        <v>5.94</v>
      </c>
      <c r="G54" s="1205">
        <v>6.03</v>
      </c>
      <c r="H54" s="1205">
        <v>6.21</v>
      </c>
      <c r="I54" s="1205">
        <v>4.1399999999999997</v>
      </c>
      <c r="J54" s="1205">
        <v>4.59</v>
      </c>
      <c r="L54" s="1205"/>
      <c r="M54" s="1206"/>
      <c r="N54" s="1205"/>
      <c r="O54" s="1205"/>
      <c r="P54" s="1205"/>
      <c r="Q54" s="1205"/>
      <c r="R54" s="1205"/>
      <c r="S54" s="1205"/>
      <c r="T54" s="1205"/>
      <c r="U54" s="1205"/>
      <c r="V54" s="1205"/>
      <c r="W54" s="1205"/>
      <c r="X54" s="1205"/>
      <c r="Y54" s="1205"/>
      <c r="Z54" s="1205"/>
    </row>
    <row r="55" spans="2:26">
      <c r="B55" s="1205"/>
      <c r="C55" s="1206">
        <v>36136</v>
      </c>
      <c r="D55" s="1205">
        <v>6.12</v>
      </c>
      <c r="E55" s="1205">
        <v>6.39</v>
      </c>
      <c r="F55" s="1205">
        <v>6.66</v>
      </c>
      <c r="G55" s="1205">
        <v>7.2</v>
      </c>
      <c r="H55" s="1205">
        <v>7.56</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35977</v>
      </c>
      <c r="D56" s="1205">
        <v>6.57</v>
      </c>
      <c r="E56" s="1205">
        <v>6.93</v>
      </c>
      <c r="F56" s="1205">
        <v>7.11</v>
      </c>
      <c r="G56" s="1205">
        <v>7.65</v>
      </c>
      <c r="H56" s="1205">
        <v>8.01</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35879</v>
      </c>
      <c r="D57" s="1205">
        <v>7.02</v>
      </c>
      <c r="E57" s="1205">
        <v>7.92</v>
      </c>
      <c r="F57" s="1205">
        <v>9</v>
      </c>
      <c r="G57" s="1205">
        <v>9.7200000000000006</v>
      </c>
      <c r="H57" s="1205">
        <v>10.35</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35726</v>
      </c>
      <c r="D58" s="1205">
        <v>7.65</v>
      </c>
      <c r="E58" s="1205">
        <v>8.64</v>
      </c>
      <c r="F58" s="1205">
        <v>9.36</v>
      </c>
      <c r="G58" s="1205">
        <v>9.9</v>
      </c>
      <c r="H58" s="1205">
        <v>10.53</v>
      </c>
      <c r="I58" s="1205">
        <v>0</v>
      </c>
      <c r="J58" s="1205">
        <v>0</v>
      </c>
    </row>
    <row r="59" spans="2:26">
      <c r="B59" s="1205"/>
      <c r="C59" s="1206">
        <v>35300</v>
      </c>
      <c r="D59" s="1205">
        <v>9.18</v>
      </c>
      <c r="E59" s="1205">
        <v>10.08</v>
      </c>
      <c r="F59" s="1205">
        <v>10.98</v>
      </c>
      <c r="G59" s="1205">
        <v>11.7</v>
      </c>
      <c r="H59" s="1205">
        <v>12.42</v>
      </c>
      <c r="I59" s="1205">
        <v>0</v>
      </c>
      <c r="J59" s="1205">
        <v>0</v>
      </c>
    </row>
    <row r="60" spans="2:26">
      <c r="B60" s="1205"/>
      <c r="C60" s="1206">
        <v>35186</v>
      </c>
      <c r="D60" s="1205">
        <v>9.7200000000000006</v>
      </c>
      <c r="E60" s="1205">
        <v>10.98</v>
      </c>
      <c r="F60" s="1205">
        <v>13.14</v>
      </c>
      <c r="G60" s="1205">
        <v>14.94</v>
      </c>
      <c r="H60" s="1205">
        <v>15.12</v>
      </c>
      <c r="I60" s="1205">
        <v>0</v>
      </c>
      <c r="J60" s="1205">
        <v>0</v>
      </c>
    </row>
    <row r="61" spans="2:26">
      <c r="B61" s="1205"/>
      <c r="C61" s="1206">
        <v>34881</v>
      </c>
      <c r="D61" s="1205">
        <v>10.08</v>
      </c>
      <c r="E61" s="1205">
        <v>12.06</v>
      </c>
      <c r="F61" s="1205">
        <v>13.5</v>
      </c>
      <c r="G61" s="1205">
        <v>15.12</v>
      </c>
      <c r="H61" s="1205">
        <v>15.3</v>
      </c>
      <c r="I61" s="1205">
        <v>0</v>
      </c>
      <c r="J61" s="1205">
        <v>0</v>
      </c>
    </row>
    <row r="62" spans="2:26">
      <c r="B62" s="1205"/>
      <c r="C62" s="1206">
        <v>34700</v>
      </c>
      <c r="D62" s="1205">
        <v>9</v>
      </c>
      <c r="E62" s="1205">
        <v>10.98</v>
      </c>
      <c r="F62" s="1205">
        <v>12.96</v>
      </c>
      <c r="G62" s="1205">
        <v>14.58</v>
      </c>
      <c r="H62" s="1205">
        <v>14.76</v>
      </c>
      <c r="I62" s="1205">
        <v>0</v>
      </c>
      <c r="J62" s="1205">
        <v>0</v>
      </c>
    </row>
    <row r="63" spans="2:26">
      <c r="B63" s="1205"/>
      <c r="C63" s="1206">
        <v>34161</v>
      </c>
      <c r="D63" s="1205">
        <v>9</v>
      </c>
      <c r="E63" s="1205">
        <v>10.98</v>
      </c>
      <c r="F63" s="1205">
        <v>12.24</v>
      </c>
      <c r="G63" s="1205">
        <v>13.86</v>
      </c>
      <c r="H63" s="1205">
        <v>14.04</v>
      </c>
      <c r="I63" s="1205">
        <v>0</v>
      </c>
      <c r="J63" s="1205">
        <v>0</v>
      </c>
    </row>
    <row r="64" spans="2:26">
      <c r="B64" s="1205"/>
      <c r="C64" s="1206">
        <v>34104</v>
      </c>
      <c r="D64" s="1205">
        <v>8.82</v>
      </c>
      <c r="E64" s="1205">
        <v>9.36</v>
      </c>
      <c r="F64" s="1205">
        <v>10.8</v>
      </c>
      <c r="G64" s="1205">
        <v>12.06</v>
      </c>
      <c r="H64" s="1205">
        <v>12.24</v>
      </c>
      <c r="I64" s="1205">
        <v>0</v>
      </c>
      <c r="J64" s="1205">
        <v>0</v>
      </c>
    </row>
    <row r="65" spans="2:10">
      <c r="B65" s="1205"/>
      <c r="C65" s="1206">
        <v>33349</v>
      </c>
      <c r="D65" s="1205">
        <v>8.1</v>
      </c>
      <c r="E65" s="1205">
        <v>8.64</v>
      </c>
      <c r="F65" s="1205">
        <v>9</v>
      </c>
      <c r="G65" s="1205">
        <v>9.5399999999999991</v>
      </c>
      <c r="H65" s="1205">
        <v>9.7200000000000006</v>
      </c>
      <c r="I65" s="1205">
        <v>0</v>
      </c>
      <c r="J65" s="1205">
        <v>0</v>
      </c>
    </row>
    <row r="66" spans="2:10">
      <c r="B66" s="1205"/>
      <c r="C66" s="1206">
        <v>33318</v>
      </c>
      <c r="D66" s="1205">
        <v>9</v>
      </c>
      <c r="E66" s="1205">
        <v>10.08</v>
      </c>
      <c r="F66" s="1205">
        <v>10.8</v>
      </c>
      <c r="G66" s="1205">
        <v>11.52</v>
      </c>
      <c r="H66" s="1205">
        <v>11.88</v>
      </c>
      <c r="I66" s="1205" t="s">
        <v>633</v>
      </c>
      <c r="J66" s="1205" t="s">
        <v>633</v>
      </c>
    </row>
    <row r="67" spans="2:10">
      <c r="B67" s="1205"/>
      <c r="C67" s="1206">
        <v>33106</v>
      </c>
      <c r="D67" s="1205">
        <v>8.64</v>
      </c>
      <c r="E67" s="1205">
        <v>9.36</v>
      </c>
      <c r="F67" s="1205">
        <v>10.08</v>
      </c>
      <c r="G67" s="1205">
        <v>10.8</v>
      </c>
      <c r="H67" s="1205">
        <v>11.16</v>
      </c>
      <c r="I67" s="1205">
        <v>0</v>
      </c>
      <c r="J67" s="1205">
        <v>0</v>
      </c>
    </row>
    <row r="68" spans="2:10">
      <c r="B68" s="1205"/>
      <c r="C68" s="1206">
        <v>32540</v>
      </c>
      <c r="D68" s="1205">
        <v>11.34</v>
      </c>
      <c r="E68" s="1205">
        <v>11.34</v>
      </c>
      <c r="F68" s="1205">
        <v>12.78</v>
      </c>
      <c r="G68" s="1205">
        <v>14.4</v>
      </c>
      <c r="H68" s="1205">
        <v>19.260000000000002</v>
      </c>
      <c r="I68" s="1205">
        <v>0</v>
      </c>
      <c r="J68" s="1205">
        <v>0</v>
      </c>
    </row>
    <row r="69" spans="2:10">
      <c r="B69" s="1205"/>
      <c r="C69" s="1206"/>
      <c r="D69" s="1205"/>
      <c r="E69" s="1205"/>
      <c r="F69" s="1205"/>
      <c r="G69" s="1205"/>
      <c r="H69" s="1205"/>
      <c r="I69" s="1205"/>
      <c r="J69" s="1205"/>
    </row>
    <row r="70" spans="2:10">
      <c r="B70" s="1208"/>
      <c r="C70" s="1209"/>
      <c r="D70" s="1208"/>
      <c r="E70" s="1208"/>
      <c r="F70" s="1208"/>
      <c r="G70" s="1208"/>
      <c r="H70" s="1208"/>
      <c r="I70" s="1208"/>
      <c r="J70" s="1208"/>
    </row>
    <row r="71" spans="2:10">
      <c r="B71" s="1208"/>
      <c r="C71" s="1209"/>
      <c r="D71" s="1208"/>
      <c r="E71" s="1208"/>
      <c r="F71" s="1208"/>
      <c r="G71" s="1208"/>
      <c r="H71" s="1208"/>
      <c r="I71" s="1208"/>
      <c r="J71" s="1208"/>
    </row>
    <row r="72" spans="2:10">
      <c r="B72" s="1208"/>
      <c r="C72" s="1209"/>
      <c r="D72" s="1208"/>
      <c r="E72" s="1208"/>
      <c r="F72" s="1208"/>
      <c r="G72" s="1208"/>
      <c r="H72" s="1208"/>
      <c r="I72" s="1208"/>
      <c r="J72" s="1208"/>
    </row>
    <row r="73" spans="2:10">
      <c r="B73" s="1159"/>
      <c r="C73" s="1159"/>
      <c r="D73" s="1159"/>
      <c r="E73" s="1159"/>
      <c r="F73" s="1159"/>
      <c r="G73" s="1159"/>
      <c r="H73" s="1159"/>
      <c r="I73" s="1159"/>
      <c r="J73" s="1159"/>
    </row>
    <row r="74" spans="2:10">
      <c r="B74" s="1159"/>
      <c r="C74" s="1159"/>
      <c r="D74" s="1159"/>
      <c r="E74" s="1159"/>
      <c r="F74" s="1159"/>
      <c r="G74" s="1159"/>
      <c r="H74" s="1159"/>
      <c r="I74" s="1159"/>
      <c r="J74"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比较法-商业</vt:lpstr>
      <vt:lpstr>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cheny</cp:lastModifiedBy>
  <cp:lastPrinted>2017-03-01T09:15:43Z</cp:lastPrinted>
  <dcterms:created xsi:type="dcterms:W3CDTF">2015-07-13T07:17:23Z</dcterms:created>
  <dcterms:modified xsi:type="dcterms:W3CDTF">2023-12-05T05:16:03Z</dcterms:modified>
</cp:coreProperties>
</file>