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1760" tabRatio="899" firstSheet="11"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87" r:id="rId14"/>
    <sheet name="测绘" sheetId="88" r:id="rId15"/>
    <sheet name="数据-汇总表" sheetId="6" r:id="rId16"/>
    <sheet name="数据-取费表" sheetId="1" r:id="rId17"/>
    <sheet name="估价对象房地状况" sheetId="20" state="hidden" r:id="rId18"/>
    <sheet name="系统读取表" sheetId="74" state="hidden" r:id="rId19"/>
    <sheet name="成本收益测算（旧）" sheetId="84" r:id="rId20"/>
    <sheet name="开发进度" sheetId="85" r:id="rId21"/>
    <sheet name="预期售价" sheetId="86" r:id="rId22"/>
    <sheet name="结果表" sheetId="9" r:id="rId23"/>
    <sheet name="出让价及转让价" sheetId="82" state="hidden" r:id="rId24"/>
    <sheet name="成本法" sheetId="68" r:id="rId25"/>
    <sheet name="成本法 (元)" sheetId="69" state="hidden" r:id="rId26"/>
    <sheet name="土地比较法-住宅、综合" sheetId="39" r:id="rId27"/>
    <sheet name="土地案例" sheetId="80" r:id="rId28"/>
    <sheet name="案例位置" sheetId="81" r:id="rId29"/>
    <sheet name="假设开发法" sheetId="12" r:id="rId30"/>
    <sheet name="比较法-住宅" sheetId="21" r:id="rId31"/>
    <sheet name="收益法（独立商业）" sheetId="15" r:id="rId32"/>
    <sheet name="收益法（底商）" sheetId="77" r:id="rId33"/>
    <sheet name="收益法（地下车库）" sheetId="78" r:id="rId34"/>
    <sheet name="收益法 (元)" sheetId="67" state="hidden" r:id="rId35"/>
    <sheet name="收益法（汇总）" sheetId="70" state="hidden" r:id="rId36"/>
    <sheet name="酒店收入计算" sheetId="66"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工作表3" sheetId="83" r:id="rId55"/>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34">'收益法 (元)'!$A$1:$AK$69</definedName>
    <definedName name="_xlnm.Print_Area" localSheetId="32">'收益法（底商）'!$A$1:$AK$69</definedName>
    <definedName name="_xlnm.Print_Area" localSheetId="33">'收益法（地下车库）'!$A$1:$AK$69</definedName>
    <definedName name="_xlnm.Print_Area" localSheetId="31">'收益法（独立商业）'!$A$1:$AK$69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E46" i="39" l="1"/>
  <c r="G46" i="39"/>
  <c r="I46" i="39"/>
  <c r="Q10" i="1"/>
  <c r="L10" i="1"/>
  <c r="J10" i="1"/>
  <c r="I10" i="1"/>
  <c r="H10" i="1"/>
  <c r="F23" i="6"/>
  <c r="F19" i="6"/>
  <c r="I14" i="3"/>
  <c r="I13" i="3"/>
  <c r="G20" i="87"/>
  <c r="O13" i="3"/>
  <c r="AT13" i="3"/>
  <c r="AN13" i="3"/>
  <c r="B23" i="88"/>
  <c r="H7" i="87"/>
  <c r="H13" i="87"/>
  <c r="H14" i="87"/>
  <c r="D3" i="4"/>
  <c r="C1" i="73"/>
  <c r="J1" i="73"/>
  <c r="D5" i="73"/>
  <c r="B22" i="1"/>
  <c r="E1" i="73"/>
  <c r="D6" i="73"/>
  <c r="K1" i="73"/>
  <c r="G1" i="73"/>
  <c r="B40" i="1"/>
  <c r="F22" i="68"/>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D71" i="39"/>
  <c r="E71" i="39"/>
  <c r="F71" i="39"/>
  <c r="G71" i="39"/>
  <c r="H71" i="39"/>
  <c r="I71" i="39"/>
  <c r="J71" i="39"/>
  <c r="K71" i="39"/>
  <c r="L71" i="39"/>
  <c r="M71" i="39"/>
  <c r="N71" i="39"/>
  <c r="O71" i="39"/>
  <c r="F7" i="39"/>
  <c r="AA7" i="39"/>
  <c r="F8" i="39"/>
  <c r="AA8" i="39"/>
  <c r="C75" i="39"/>
  <c r="D75" i="39"/>
  <c r="E75" i="39"/>
  <c r="F9" i="39"/>
  <c r="AA9" i="39"/>
  <c r="D80" i="39"/>
  <c r="E80" i="39"/>
  <c r="F80" i="39"/>
  <c r="G80" i="39"/>
  <c r="H80" i="39"/>
  <c r="D17" i="88"/>
  <c r="E17" i="88"/>
  <c r="B3" i="88"/>
  <c r="BB13" i="3"/>
  <c r="K13" i="3"/>
  <c r="BC13" i="3"/>
  <c r="M13" i="3"/>
  <c r="BD13" i="3"/>
  <c r="BE13" i="3"/>
  <c r="BF13" i="3"/>
  <c r="BG13" i="3"/>
  <c r="BH13" i="3"/>
  <c r="BI13" i="3"/>
  <c r="BJ13" i="3"/>
  <c r="BK13" i="3"/>
  <c r="BA13" i="3"/>
  <c r="BM13" i="3"/>
  <c r="BN13" i="3"/>
  <c r="BO13" i="3"/>
  <c r="BP13" i="3"/>
  <c r="H17" i="88"/>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I7" i="6"/>
  <c r="C11" i="39"/>
  <c r="D81" i="39"/>
  <c r="E81" i="39"/>
  <c r="F11" i="39"/>
  <c r="AA11" i="39"/>
  <c r="B82" i="39"/>
  <c r="F12" i="39"/>
  <c r="AA12" i="39"/>
  <c r="B84" i="39"/>
  <c r="F13" i="39"/>
  <c r="AA13" i="39"/>
  <c r="B86" i="39"/>
  <c r="F14" i="39"/>
  <c r="AA14" i="39"/>
  <c r="D89" i="39"/>
  <c r="E89" i="39"/>
  <c r="F89" i="39"/>
  <c r="G89" i="39"/>
  <c r="F15" i="39"/>
  <c r="AA15" i="39"/>
  <c r="D91" i="39"/>
  <c r="E91" i="39"/>
  <c r="F91" i="39"/>
  <c r="F17" i="39"/>
  <c r="AA17" i="39"/>
  <c r="F19" i="39"/>
  <c r="AA19" i="39"/>
  <c r="D95" i="39"/>
  <c r="F21" i="39"/>
  <c r="AA21" i="39"/>
  <c r="D97" i="39"/>
  <c r="F23" i="39"/>
  <c r="AA23" i="39"/>
  <c r="D99" i="39"/>
  <c r="E99" i="39"/>
  <c r="F25" i="39"/>
  <c r="AA25" i="39"/>
  <c r="D101" i="39"/>
  <c r="E101" i="39"/>
  <c r="F101" i="39"/>
  <c r="F27" i="39"/>
  <c r="AA27" i="39"/>
  <c r="D103" i="39"/>
  <c r="F29" i="39"/>
  <c r="AA29" i="39"/>
  <c r="B104" i="39"/>
  <c r="F31" i="39"/>
  <c r="AA31" i="39"/>
  <c r="D107" i="39"/>
  <c r="E107" i="39"/>
  <c r="F107" i="39"/>
  <c r="G107" i="39"/>
  <c r="F32" i="39"/>
  <c r="AA32" i="39"/>
  <c r="F34" i="39"/>
  <c r="AA34" i="39"/>
  <c r="B110" i="39"/>
  <c r="F35" i="39"/>
  <c r="AA35" i="39"/>
  <c r="B112" i="39"/>
  <c r="F36" i="39"/>
  <c r="AA36" i="39"/>
  <c r="B114" i="39"/>
  <c r="F37" i="39"/>
  <c r="AA37" i="39"/>
  <c r="E38" i="39"/>
  <c r="C38" i="39"/>
  <c r="F38" i="39"/>
  <c r="AA38" i="39"/>
  <c r="F39" i="39"/>
  <c r="AA39" i="39"/>
  <c r="F40" i="39"/>
  <c r="AA40" i="39"/>
  <c r="F41" i="39"/>
  <c r="AA41" i="39"/>
  <c r="F42" i="39"/>
  <c r="AA42" i="39"/>
  <c r="B127" i="39"/>
  <c r="F43" i="39"/>
  <c r="AA43" i="39"/>
  <c r="B129" i="39"/>
  <c r="F44" i="39"/>
  <c r="AA44" i="39"/>
  <c r="B131" i="39"/>
  <c r="F45" i="39"/>
  <c r="AA45" i="39"/>
  <c r="C19" i="68"/>
  <c r="C24" i="68"/>
  <c r="F21" i="68"/>
  <c r="B23" i="1"/>
  <c r="C26" i="68"/>
  <c r="D22" i="68"/>
  <c r="C21" i="68"/>
  <c r="B24" i="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E5" i="6"/>
  <c r="D9" i="68"/>
  <c r="E3" i="6"/>
  <c r="E6" i="6"/>
  <c r="D10" i="68"/>
  <c r="D19" i="68"/>
  <c r="D37" i="68"/>
  <c r="E37" i="68"/>
  <c r="C40" i="68"/>
  <c r="C44" i="68"/>
  <c r="D41" i="68"/>
  <c r="A6" i="1"/>
  <c r="A7" i="1"/>
  <c r="G1" i="15"/>
  <c r="F6" i="15"/>
  <c r="F8" i="15"/>
  <c r="F20" i="6"/>
  <c r="E20" i="6"/>
  <c r="K7" i="1"/>
  <c r="F7" i="15"/>
  <c r="F9" i="15"/>
  <c r="C6" i="15"/>
  <c r="L1" i="73"/>
  <c r="F4" i="73"/>
  <c r="I1" i="73"/>
  <c r="B39" i="1"/>
  <c r="F11" i="15"/>
  <c r="C10" i="15"/>
  <c r="C5" i="15"/>
  <c r="B43" i="1"/>
  <c r="B41" i="1"/>
  <c r="F32" i="15"/>
  <c r="C42" i="1"/>
  <c r="C32" i="15"/>
  <c r="F33" i="15"/>
  <c r="C33" i="15"/>
  <c r="D20" i="6"/>
  <c r="F28" i="6"/>
  <c r="G28" i="6"/>
  <c r="E28" i="6"/>
  <c r="E19" i="6"/>
  <c r="F21" i="6"/>
  <c r="E21" i="6"/>
  <c r="G22" i="6"/>
  <c r="E22" i="6"/>
  <c r="E23" i="6"/>
  <c r="E24" i="6"/>
  <c r="E25" i="6"/>
  <c r="E26" i="6"/>
  <c r="E8" i="6"/>
  <c r="F27" i="6"/>
  <c r="E27" i="6"/>
  <c r="K20" i="6"/>
  <c r="L20" i="6"/>
  <c r="M20" i="6"/>
  <c r="I20" i="6"/>
  <c r="H20" i="6"/>
  <c r="R20" i="6"/>
  <c r="R7" i="1"/>
  <c r="F35" i="15"/>
  <c r="B52" i="1"/>
  <c r="F34" i="15"/>
  <c r="C34" i="15"/>
  <c r="C31" i="15"/>
  <c r="M7" i="1"/>
  <c r="S7"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5" i="4"/>
  <c r="F7" i="1"/>
  <c r="L48" i="15"/>
  <c r="M47" i="15"/>
  <c r="J50" i="15"/>
  <c r="J51" i="15"/>
  <c r="J53" i="15"/>
  <c r="F1" i="15"/>
  <c r="AE7" i="1"/>
  <c r="F41" i="15"/>
  <c r="C40" i="15"/>
  <c r="M6" i="15"/>
  <c r="M8" i="15"/>
  <c r="M7" i="15"/>
  <c r="M9" i="15"/>
  <c r="J6" i="15"/>
  <c r="M11" i="15"/>
  <c r="J10" i="15"/>
  <c r="J5" i="15"/>
  <c r="J26" i="15"/>
  <c r="J29" i="15"/>
  <c r="J60" i="15"/>
  <c r="L46" i="15"/>
  <c r="B2" i="15"/>
  <c r="B3" i="15"/>
  <c r="D6" i="12"/>
  <c r="D7" i="12"/>
  <c r="D8" i="12"/>
  <c r="A8" i="1"/>
  <c r="G1" i="77"/>
  <c r="F6" i="77"/>
  <c r="F8" i="77"/>
  <c r="K8" i="1"/>
  <c r="F7" i="77"/>
  <c r="F9" i="77"/>
  <c r="C6" i="77"/>
  <c r="F11" i="77"/>
  <c r="C10" i="77"/>
  <c r="C5" i="77"/>
  <c r="F32" i="77"/>
  <c r="C32" i="77"/>
  <c r="F33" i="77"/>
  <c r="C33" i="77"/>
  <c r="D21" i="6"/>
  <c r="K21" i="6"/>
  <c r="L21" i="6"/>
  <c r="M21" i="6"/>
  <c r="I21" i="6"/>
  <c r="H21" i="6"/>
  <c r="R21" i="6"/>
  <c r="R8" i="1"/>
  <c r="F35" i="77"/>
  <c r="F34" i="77"/>
  <c r="C34" i="77"/>
  <c r="C31" i="77"/>
  <c r="M8" i="1"/>
  <c r="S8" i="1"/>
  <c r="T8"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F8" i="1"/>
  <c r="L48" i="77"/>
  <c r="M47" i="77"/>
  <c r="J50" i="77"/>
  <c r="J51" i="77"/>
  <c r="J53" i="77"/>
  <c r="F1" i="77"/>
  <c r="AE8" i="1"/>
  <c r="F41" i="77"/>
  <c r="C40" i="77"/>
  <c r="M6" i="77"/>
  <c r="M8" i="77"/>
  <c r="M7" i="77"/>
  <c r="M9" i="77"/>
  <c r="J6" i="77"/>
  <c r="M11" i="77"/>
  <c r="J10" i="77"/>
  <c r="J5" i="77"/>
  <c r="J26" i="77"/>
  <c r="J29" i="77"/>
  <c r="J60" i="77"/>
  <c r="L46" i="77"/>
  <c r="B2" i="77"/>
  <c r="B3" i="77"/>
  <c r="E6" i="12"/>
  <c r="E7" i="12"/>
  <c r="E8" i="12"/>
  <c r="A9" i="1"/>
  <c r="G1" i="78"/>
  <c r="F6" i="78"/>
  <c r="F8" i="78"/>
  <c r="K9" i="1"/>
  <c r="F7" i="78"/>
  <c r="F9" i="78"/>
  <c r="C6" i="78"/>
  <c r="F11" i="78"/>
  <c r="C10" i="78"/>
  <c r="C5" i="78"/>
  <c r="F32" i="78"/>
  <c r="C32" i="78"/>
  <c r="F33" i="78"/>
  <c r="C33" i="78"/>
  <c r="D22" i="6"/>
  <c r="K22" i="6"/>
  <c r="L22" i="6"/>
  <c r="M22" i="6"/>
  <c r="I22" i="6"/>
  <c r="H22" i="6"/>
  <c r="R22" i="6"/>
  <c r="R9" i="1"/>
  <c r="F35" i="78"/>
  <c r="F34" i="78"/>
  <c r="C34" i="78"/>
  <c r="C31" i="78"/>
  <c r="M9" i="1"/>
  <c r="S9" i="1"/>
  <c r="T9" i="1"/>
  <c r="C14" i="78"/>
  <c r="F15" i="78"/>
  <c r="C15" i="78"/>
  <c r="F16" i="78"/>
  <c r="C16" i="78"/>
  <c r="F43" i="78"/>
  <c r="F17" i="78"/>
  <c r="C17" i="78"/>
  <c r="F18" i="78"/>
  <c r="C18" i="78"/>
  <c r="C19" i="78"/>
  <c r="F20" i="78"/>
  <c r="C20" i="78"/>
  <c r="F24" i="78"/>
  <c r="F23" i="78"/>
  <c r="C23" i="78"/>
  <c r="F26" i="78"/>
  <c r="C26" i="78"/>
  <c r="F21" i="78"/>
  <c r="C24" i="78"/>
  <c r="C27" i="78"/>
  <c r="F28" i="78"/>
  <c r="C28" i="78"/>
  <c r="C29" i="78"/>
  <c r="F36" i="78"/>
  <c r="C36" i="78"/>
  <c r="F13" i="78"/>
  <c r="C13" i="78"/>
  <c r="F37" i="78"/>
  <c r="C37" i="78"/>
  <c r="F38" i="78"/>
  <c r="C38" i="78"/>
  <c r="C30" i="78"/>
  <c r="C39" i="78"/>
  <c r="F42" i="78"/>
  <c r="F40" i="78"/>
  <c r="G15" i="4"/>
  <c r="F9" i="1"/>
  <c r="L48" i="78"/>
  <c r="M47" i="78"/>
  <c r="J50" i="78"/>
  <c r="J51" i="78"/>
  <c r="J53" i="78"/>
  <c r="F1" i="78"/>
  <c r="AE9" i="1"/>
  <c r="F41" i="78"/>
  <c r="C40" i="78"/>
  <c r="M6" i="78"/>
  <c r="M8" i="78"/>
  <c r="M7" i="78"/>
  <c r="M9" i="78"/>
  <c r="J6" i="78"/>
  <c r="M11" i="78"/>
  <c r="J10" i="78"/>
  <c r="J5" i="78"/>
  <c r="J26" i="78"/>
  <c r="J29" i="78"/>
  <c r="J60" i="78"/>
  <c r="L46" i="78"/>
  <c r="B2" i="78"/>
  <c r="B3" i="78"/>
  <c r="F6" i="12"/>
  <c r="F7" i="12"/>
  <c r="F8" i="12"/>
  <c r="R47" i="21"/>
  <c r="C7" i="21"/>
  <c r="C58" i="21"/>
  <c r="D58" i="21"/>
  <c r="E58" i="21"/>
  <c r="F58" i="21"/>
  <c r="G58" i="21"/>
  <c r="H58" i="21"/>
  <c r="I58" i="21"/>
  <c r="J58" i="21"/>
  <c r="K58" i="21"/>
  <c r="L58" i="21"/>
  <c r="M58" i="21"/>
  <c r="N58" i="21"/>
  <c r="O58" i="21"/>
  <c r="F7" i="21"/>
  <c r="AA7" i="21"/>
  <c r="F8" i="21"/>
  <c r="AA8" i="21"/>
  <c r="C63" i="21"/>
  <c r="F9" i="21"/>
  <c r="AA9" i="21"/>
  <c r="F10" i="21"/>
  <c r="AA10" i="21"/>
  <c r="C11"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6" i="12"/>
  <c r="C7" i="12"/>
  <c r="C8" i="12"/>
  <c r="C4" i="12"/>
  <c r="K6" i="1"/>
  <c r="M6" i="1"/>
  <c r="O6" i="1"/>
  <c r="P6" i="1"/>
  <c r="O7" i="1"/>
  <c r="P7" i="1"/>
  <c r="O8" i="1"/>
  <c r="P8" i="1"/>
  <c r="O9" i="1"/>
  <c r="P9" i="1"/>
  <c r="A10" i="1"/>
  <c r="K10" i="1"/>
  <c r="M10" i="1"/>
  <c r="O10" i="1"/>
  <c r="P10" i="1"/>
  <c r="A11" i="1"/>
  <c r="K11" i="1"/>
  <c r="M11" i="1"/>
  <c r="O11" i="1"/>
  <c r="P11" i="1"/>
  <c r="A12" i="1"/>
  <c r="K12" i="1"/>
  <c r="M12" i="1"/>
  <c r="O12" i="1"/>
  <c r="P12" i="1"/>
  <c r="A13" i="1"/>
  <c r="K13" i="1"/>
  <c r="M13" i="1"/>
  <c r="O13" i="1"/>
  <c r="P13" i="1"/>
  <c r="K14" i="1"/>
  <c r="M14" i="1"/>
  <c r="O14" i="1"/>
  <c r="P14" i="1"/>
  <c r="P16" i="1"/>
  <c r="C11" i="12"/>
  <c r="F12" i="12"/>
  <c r="C12" i="12"/>
  <c r="F13" i="12"/>
  <c r="C13" i="12"/>
  <c r="D14" i="12"/>
  <c r="E14" i="12"/>
  <c r="F15" i="12"/>
  <c r="C15" i="12"/>
  <c r="D17" i="12"/>
  <c r="E17" i="12"/>
  <c r="C17" i="12"/>
  <c r="D19" i="12"/>
  <c r="E19" i="12"/>
  <c r="C19" i="12"/>
  <c r="D20" i="12"/>
  <c r="E20" i="12"/>
  <c r="C20" i="12"/>
  <c r="C18" i="12"/>
  <c r="F23" i="12"/>
  <c r="F25" i="12"/>
  <c r="F31" i="12"/>
  <c r="C31" i="12"/>
  <c r="F24" i="12"/>
  <c r="C24" i="12"/>
  <c r="C26" i="12"/>
  <c r="D25" i="12"/>
  <c r="E109" i="9"/>
  <c r="U6" i="88"/>
  <c r="T6" i="88"/>
  <c r="V6" i="88"/>
  <c r="E9" i="68"/>
  <c r="C9" i="68"/>
  <c r="E10" i="68"/>
  <c r="C10" i="68"/>
  <c r="G18" i="87"/>
  <c r="C7" i="87"/>
  <c r="C13" i="87"/>
  <c r="C14" i="87"/>
  <c r="D7" i="87"/>
  <c r="D13" i="87"/>
  <c r="D14" i="87"/>
  <c r="E7" i="87"/>
  <c r="E13" i="87"/>
  <c r="E14" i="87"/>
  <c r="F7" i="87"/>
  <c r="F13" i="87"/>
  <c r="F14" i="87"/>
  <c r="G14" i="87"/>
  <c r="I14" i="87"/>
  <c r="W6" i="88"/>
  <c r="X6" i="88"/>
  <c r="T7" i="88"/>
  <c r="U7" i="88"/>
  <c r="T8" i="88"/>
  <c r="U8" i="88"/>
  <c r="T9" i="88"/>
  <c r="U9" i="88"/>
  <c r="T10" i="88"/>
  <c r="U10" i="88"/>
  <c r="T11" i="88"/>
  <c r="U11" i="88"/>
  <c r="T12" i="88"/>
  <c r="U12" i="88"/>
  <c r="T13" i="88"/>
  <c r="U13" i="88"/>
  <c r="T14" i="88"/>
  <c r="U14" i="88"/>
  <c r="T15" i="88"/>
  <c r="U15" i="88"/>
  <c r="T16" i="88"/>
  <c r="U16" i="88"/>
  <c r="V7" i="88"/>
  <c r="W7" i="88"/>
  <c r="X7" i="88"/>
  <c r="V8" i="88"/>
  <c r="W8" i="88"/>
  <c r="X8" i="88"/>
  <c r="V9" i="88"/>
  <c r="W9" i="88"/>
  <c r="X9" i="88"/>
  <c r="V10" i="88"/>
  <c r="W10" i="88"/>
  <c r="X10" i="88"/>
  <c r="V11" i="88"/>
  <c r="W11" i="88"/>
  <c r="X11" i="88"/>
  <c r="V12" i="88"/>
  <c r="W12" i="88"/>
  <c r="X12" i="88"/>
  <c r="V13" i="88"/>
  <c r="W13" i="88"/>
  <c r="X13" i="88"/>
  <c r="V14" i="88"/>
  <c r="W14" i="88"/>
  <c r="X14" i="88"/>
  <c r="V15" i="88"/>
  <c r="W15" i="88"/>
  <c r="X15" i="88"/>
  <c r="V16" i="88"/>
  <c r="W16" i="88"/>
  <c r="X16" i="88"/>
  <c r="X17" i="88"/>
  <c r="Y17" i="88"/>
  <c r="W21" i="1"/>
  <c r="X24" i="1"/>
  <c r="W22" i="1"/>
  <c r="W23" i="1"/>
  <c r="W24" i="1"/>
  <c r="L16" i="88"/>
  <c r="L12" i="88"/>
  <c r="L6" i="88"/>
  <c r="L7" i="88"/>
  <c r="L8" i="88"/>
  <c r="L9" i="88"/>
  <c r="L10" i="88"/>
  <c r="L11" i="88"/>
  <c r="L13" i="88"/>
  <c r="L14" i="88"/>
  <c r="L15" i="88"/>
  <c r="L17" i="88"/>
  <c r="B27" i="9"/>
  <c r="F6" i="88"/>
  <c r="F8" i="88"/>
  <c r="F9" i="88"/>
  <c r="F10" i="88"/>
  <c r="F11" i="88"/>
  <c r="F12" i="88"/>
  <c r="F14" i="88"/>
  <c r="F17" i="88"/>
  <c r="G16" i="88"/>
  <c r="G6" i="88"/>
  <c r="G7" i="88"/>
  <c r="G10" i="88"/>
  <c r="G11" i="88"/>
  <c r="G12" i="88"/>
  <c r="G13" i="88"/>
  <c r="G15" i="88"/>
  <c r="G8" i="88"/>
  <c r="G9" i="88"/>
  <c r="G14" i="88"/>
  <c r="G17" i="88"/>
  <c r="I17" i="88"/>
  <c r="J17" i="88"/>
  <c r="K7" i="88"/>
  <c r="K16" i="88"/>
  <c r="K6" i="88"/>
  <c r="K10" i="88"/>
  <c r="K11" i="88"/>
  <c r="K12" i="88"/>
  <c r="K13" i="88"/>
  <c r="K15" i="88"/>
  <c r="K8" i="88"/>
  <c r="K9" i="88"/>
  <c r="K14" i="88"/>
  <c r="K17" i="88"/>
  <c r="M6" i="88"/>
  <c r="G12" i="87"/>
  <c r="I12" i="87"/>
  <c r="G13" i="87"/>
  <c r="I13" i="87"/>
  <c r="G5" i="87"/>
  <c r="I5" i="87"/>
  <c r="G6" i="87"/>
  <c r="I6" i="87"/>
  <c r="G7" i="87"/>
  <c r="I7" i="87"/>
  <c r="G8" i="87"/>
  <c r="I8" i="87"/>
  <c r="G9" i="87"/>
  <c r="I9" i="87"/>
  <c r="G10" i="87"/>
  <c r="I10" i="87"/>
  <c r="G11" i="87"/>
  <c r="I11" i="87"/>
  <c r="G4" i="87"/>
  <c r="I4" i="87"/>
  <c r="M7" i="88"/>
  <c r="M8" i="88"/>
  <c r="M9" i="88"/>
  <c r="M10" i="88"/>
  <c r="M11" i="88"/>
  <c r="M12" i="88"/>
  <c r="M13" i="88"/>
  <c r="M14" i="88"/>
  <c r="M15" i="88"/>
  <c r="M16" i="88"/>
  <c r="F50" i="68"/>
  <c r="C17" i="9"/>
  <c r="D17" i="9"/>
  <c r="C18" i="9"/>
  <c r="D18" i="9"/>
  <c r="U21" i="1"/>
  <c r="V24" i="1"/>
  <c r="U22" i="1"/>
  <c r="U23" i="1"/>
  <c r="U24" i="1"/>
  <c r="G1" i="82"/>
  <c r="F1" i="82"/>
  <c r="H11" i="39"/>
  <c r="AB11" i="39"/>
  <c r="H27" i="39"/>
  <c r="AB27" i="39"/>
  <c r="H15" i="39"/>
  <c r="AB15" i="39"/>
  <c r="G38" i="39"/>
  <c r="H38" i="39"/>
  <c r="AB38" i="39"/>
  <c r="G7" i="39"/>
  <c r="H7" i="39"/>
  <c r="AB7" i="39"/>
  <c r="J11" i="39"/>
  <c r="AC11" i="39"/>
  <c r="J27" i="39"/>
  <c r="AC27" i="39"/>
  <c r="J15" i="39"/>
  <c r="AC15" i="39"/>
  <c r="I38" i="39"/>
  <c r="J38" i="39"/>
  <c r="AC38" i="39"/>
  <c r="I7" i="39"/>
  <c r="J7" i="39"/>
  <c r="AC7" i="39"/>
  <c r="BB10" i="3"/>
  <c r="BC10" i="3"/>
  <c r="BD10" i="3"/>
  <c r="BE10" i="3"/>
  <c r="BF10" i="3"/>
  <c r="BG10" i="3"/>
  <c r="BH10" i="3"/>
  <c r="BI10" i="3"/>
  <c r="BJ10" i="3"/>
  <c r="BK10" i="3"/>
  <c r="E56" i="39"/>
  <c r="E11" i="6"/>
  <c r="E61" i="39"/>
  <c r="E12" i="6"/>
  <c r="E62" i="39"/>
  <c r="E13" i="6"/>
  <c r="E63" i="39"/>
  <c r="E14" i="6"/>
  <c r="E64" i="39"/>
  <c r="E15" i="6"/>
  <c r="E65" i="39"/>
  <c r="I80" i="39"/>
  <c r="J80" i="39"/>
  <c r="K80" i="39"/>
  <c r="L80" i="39"/>
  <c r="M80" i="39"/>
  <c r="S3" i="80"/>
  <c r="S4" i="80"/>
  <c r="S5" i="80"/>
  <c r="S6" i="80"/>
  <c r="S7" i="80"/>
  <c r="S8" i="80"/>
  <c r="S9" i="80"/>
  <c r="S10" i="80"/>
  <c r="S11" i="80"/>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2" i="80"/>
  <c r="C10" i="39"/>
  <c r="I6" i="39"/>
  <c r="I5" i="39"/>
  <c r="G6" i="39"/>
  <c r="G5" i="39"/>
  <c r="E6" i="39"/>
  <c r="E5" i="39"/>
  <c r="K23" i="6"/>
  <c r="S10" i="1"/>
  <c r="T10" i="1"/>
  <c r="L23" i="6"/>
  <c r="M23" i="6"/>
  <c r="I23" i="6"/>
  <c r="H23" i="6"/>
  <c r="D23" i="6"/>
  <c r="R23" i="6"/>
  <c r="R10" i="1"/>
  <c r="AE10" i="1"/>
  <c r="C83" i="78"/>
  <c r="C82" i="78"/>
  <c r="C76" i="78"/>
  <c r="C75" i="78"/>
  <c r="C80" i="78"/>
  <c r="C79" i="78"/>
  <c r="Q65" i="78"/>
  <c r="L60" i="78"/>
  <c r="Q66" i="78"/>
  <c r="Q75" i="78"/>
  <c r="D9" i="1"/>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60" i="77"/>
  <c r="Q66" i="77"/>
  <c r="Q75" i="77"/>
  <c r="D8" i="1"/>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AG8"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E24" i="4"/>
  <c r="B5" i="4"/>
  <c r="B7" i="4"/>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F36" i="68"/>
  <c r="F35" i="68"/>
  <c r="F20"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D78" i="9"/>
  <c r="D24" i="15"/>
  <c r="F35" i="11"/>
  <c r="F36" i="11"/>
  <c r="F38" i="11"/>
  <c r="E37" i="11"/>
  <c r="F20" i="11"/>
  <c r="F21" i="11"/>
  <c r="C21" i="11"/>
  <c r="F7" i="11"/>
  <c r="C7" i="11"/>
  <c r="C5" i="11"/>
  <c r="F22"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J37" i="39"/>
  <c r="D109"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E95" i="39"/>
  <c r="F95" i="39"/>
  <c r="D93" i="39"/>
  <c r="E93" i="39"/>
  <c r="F93" i="39"/>
  <c r="G93" i="39"/>
  <c r="G91"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H19" i="39"/>
  <c r="AB19" i="39"/>
  <c r="H17" i="39"/>
  <c r="AB17" i="39"/>
  <c r="J23" i="40"/>
  <c r="AC23" i="40"/>
  <c r="F21" i="40"/>
  <c r="AA21" i="40"/>
  <c r="J21" i="40"/>
  <c r="W21" i="40"/>
  <c r="H42" i="39"/>
  <c r="AB42" i="39"/>
  <c r="J34" i="39"/>
  <c r="AC34" i="39"/>
  <c r="F109" i="39"/>
  <c r="G109" i="39"/>
  <c r="H109" i="39"/>
  <c r="I109" i="39"/>
  <c r="J109" i="39"/>
  <c r="K109" i="39"/>
  <c r="L109" i="39"/>
  <c r="M109" i="39"/>
  <c r="J31" i="39"/>
  <c r="U27" i="39"/>
  <c r="J19" i="39"/>
  <c r="AC19" i="39"/>
  <c r="J1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U15" i="39"/>
  <c r="W15" i="39"/>
  <c r="H41" i="39"/>
  <c r="W27" i="39"/>
  <c r="AB34" i="39"/>
  <c r="U40" i="39"/>
  <c r="S42" i="39"/>
  <c r="W14" i="39"/>
  <c r="W9" i="39"/>
  <c r="W8" i="39"/>
  <c r="J19" i="40"/>
  <c r="AC19" i="40"/>
  <c r="J50" i="40"/>
  <c r="B54" i="72"/>
  <c r="B16" i="53"/>
  <c r="B33" i="72"/>
  <c r="C7" i="37"/>
  <c r="C7" i="34"/>
  <c r="C7" i="36"/>
  <c r="W35" i="40"/>
  <c r="A118" i="9"/>
  <c r="A4" i="52"/>
  <c r="B41" i="72"/>
  <c r="W11" i="39"/>
  <c r="A12" i="52"/>
  <c r="B56" i="72"/>
  <c r="S11" i="39"/>
  <c r="G4" i="4"/>
  <c r="I4" i="4"/>
  <c r="K5" i="4"/>
  <c r="B47" i="48"/>
  <c r="A2" i="9"/>
  <c r="N2" i="43"/>
  <c r="F59" i="43"/>
  <c r="F29" i="6"/>
  <c r="U36" i="40"/>
  <c r="N4" i="43"/>
  <c r="F81" i="43"/>
  <c r="H83" i="43"/>
  <c r="F48" i="43"/>
  <c r="H52" i="43"/>
  <c r="N7" i="43"/>
  <c r="F70" i="43"/>
  <c r="H73" i="43"/>
  <c r="M6" i="43"/>
  <c r="M11" i="43"/>
  <c r="E17" i="43"/>
  <c r="F6" i="1"/>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H23" i="39"/>
  <c r="U23" i="39"/>
  <c r="M16" i="1"/>
  <c r="O16" i="1"/>
  <c r="H86" i="43"/>
  <c r="H82" i="43"/>
  <c r="H87" i="43"/>
  <c r="D93" i="9"/>
  <c r="E60" i="40"/>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AQ10" i="1"/>
  <c r="B10" i="1"/>
  <c r="E10" i="1"/>
  <c r="D1" i="66"/>
  <c r="E10" i="66"/>
  <c r="S13" i="1"/>
  <c r="AR13" i="1"/>
  <c r="R13" i="1"/>
  <c r="S11" i="1"/>
  <c r="AQ11" i="1"/>
  <c r="R11"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J21" i="39"/>
  <c r="G95" i="39"/>
  <c r="H21"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F34" i="67"/>
  <c r="F62" i="67"/>
  <c r="M20" i="67"/>
  <c r="F62" i="15"/>
  <c r="E10" i="6"/>
  <c r="G30" i="6"/>
  <c r="G31" i="6"/>
  <c r="J56" i="9"/>
  <c r="J57" i="9"/>
  <c r="A24" i="51"/>
  <c r="B18" i="72"/>
  <c r="U29" i="34"/>
  <c r="D9" i="11"/>
  <c r="C9" i="11"/>
  <c r="J105" i="43"/>
  <c r="G102" i="43"/>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F30" i="68"/>
  <c r="C30" i="68"/>
  <c r="F30" i="11"/>
  <c r="C48" i="11"/>
  <c r="F28" i="67"/>
  <c r="C28" i="67"/>
  <c r="F52" i="9"/>
  <c r="M18" i="67"/>
  <c r="F32" i="67"/>
  <c r="F60" i="67"/>
  <c r="F30" i="69"/>
  <c r="C48" i="69"/>
  <c r="F60" i="15"/>
  <c r="M18" i="15"/>
  <c r="T11" i="1"/>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H16" i="1"/>
  <c r="K16" i="1"/>
  <c r="W33" i="21"/>
  <c r="S33" i="21"/>
  <c r="W32" i="21"/>
  <c r="U9" i="21"/>
  <c r="S32" i="21"/>
  <c r="W9" i="21"/>
  <c r="U32" i="21"/>
  <c r="S10" i="21"/>
  <c r="C36" i="69"/>
  <c r="F31" i="15"/>
  <c r="C16" i="67"/>
  <c r="M17" i="15"/>
  <c r="F59" i="67"/>
  <c r="F59" i="15"/>
  <c r="F31" i="67"/>
  <c r="M17" i="67"/>
  <c r="AR7" i="1"/>
  <c r="L59" i="15"/>
  <c r="Q74" i="15"/>
  <c r="C30" i="11"/>
  <c r="E6" i="70"/>
  <c r="K27" i="6"/>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C5" i="67"/>
  <c r="C32" i="67"/>
  <c r="S20" i="6"/>
  <c r="I19"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9" i="6"/>
  <c r="D25" i="6"/>
  <c r="D26" i="6"/>
  <c r="D15" i="6"/>
  <c r="C18" i="4"/>
  <c r="D8" i="6"/>
  <c r="D24" i="6"/>
  <c r="D14" i="6"/>
  <c r="D5" i="6"/>
  <c r="D6" i="6"/>
  <c r="D12" i="6"/>
  <c r="D9" i="6"/>
  <c r="D11" i="6"/>
  <c r="D10" i="6"/>
  <c r="D13" i="6"/>
  <c r="L19" i="9"/>
  <c r="D28" i="6"/>
  <c r="D29" i="6"/>
  <c r="E61" i="40"/>
  <c r="H25" i="6"/>
  <c r="R25" i="6"/>
  <c r="H26" i="6"/>
  <c r="H24" i="6"/>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F50" i="11"/>
  <c r="F50" i="69"/>
  <c r="L16" i="1"/>
  <c r="J24" i="67"/>
  <c r="J18" i="67"/>
  <c r="J24" i="15"/>
  <c r="J18" i="15"/>
  <c r="G36" i="36"/>
  <c r="R37" i="36"/>
  <c r="AB7" i="34"/>
  <c r="T49" i="34"/>
  <c r="G49" i="34"/>
  <c r="G53" i="34"/>
  <c r="H53" i="34"/>
  <c r="W7" i="21"/>
  <c r="E48" i="21"/>
  <c r="E52" i="21"/>
  <c r="F52" i="21"/>
  <c r="R26" i="6"/>
  <c r="R24" i="6"/>
  <c r="D30" i="6"/>
  <c r="D16" i="6"/>
  <c r="A7" i="51"/>
  <c r="B7" i="72"/>
  <c r="C4" i="52"/>
  <c r="B45" i="72"/>
  <c r="A10" i="51"/>
  <c r="B9" i="72"/>
  <c r="D27" i="6"/>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D31" i="6"/>
  <c r="I6" i="6"/>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I5" i="6"/>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6"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21"/>
  <c r="B2" i="70"/>
  <c r="B3" i="70"/>
  <c r="H107"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D122" i="9"/>
  <c r="H108" i="9"/>
  <c r="D15" i="53"/>
  <c r="B31" i="72"/>
  <c r="D13" i="53"/>
  <c r="D14" i="53"/>
  <c r="B32" i="72"/>
  <c r="B30" i="72"/>
  <c r="G14" i="74"/>
  <c r="B6" i="74"/>
  <c r="D123" i="9"/>
  <c r="D9" i="52"/>
  <c r="D8" i="52"/>
  <c r="D6" i="74"/>
  <c r="C6" i="74"/>
  <c r="P21" i="43"/>
  <c r="P22"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C19" i="9"/>
  <c r="F11" i="12"/>
  <c r="C14" i="12"/>
  <c r="C16" i="12"/>
  <c r="C21" i="12"/>
  <c r="C22" i="12"/>
  <c r="C23" i="12"/>
  <c r="C27" i="12"/>
  <c r="C25" i="12"/>
  <c r="F28" i="12"/>
  <c r="C30" i="12"/>
  <c r="C28" i="12"/>
  <c r="C29" i="12"/>
  <c r="D28" i="12"/>
  <c r="C32" i="12"/>
  <c r="B2" i="12"/>
  <c r="D19" i="9"/>
  <c r="G19" i="9"/>
  <c r="J20" i="9"/>
  <c r="H10" i="40"/>
  <c r="U10" i="40"/>
  <c r="AB10" i="40"/>
  <c r="S10" i="39"/>
  <c r="J10" i="40"/>
  <c r="W10" i="40"/>
  <c r="F10" i="40"/>
  <c r="AA10" i="40"/>
  <c r="AC10" i="40"/>
  <c r="S10" i="40"/>
  <c r="W10" i="39"/>
  <c r="U10" i="39"/>
  <c r="C102" i="9"/>
  <c r="C21" i="9"/>
  <c r="D22" i="9"/>
  <c r="B3" i="68"/>
  <c r="C20" i="9"/>
  <c r="C103" i="9"/>
  <c r="B3" i="12"/>
  <c r="D20" i="9"/>
  <c r="G20" i="9"/>
  <c r="G21" i="9"/>
  <c r="C57" i="68"/>
  <c r="C56" i="68"/>
  <c r="D34" i="9"/>
  <c r="C32" i="9"/>
  <c r="H118" i="9"/>
  <c r="H101" i="9"/>
  <c r="C27" i="9"/>
  <c r="D27" i="9"/>
  <c r="D30" i="9"/>
  <c r="C38" i="9"/>
  <c r="H106" i="9"/>
  <c r="H109" i="9"/>
  <c r="H110" i="9"/>
  <c r="D18" i="53"/>
  <c r="B35" i="72"/>
  <c r="D16" i="53"/>
  <c r="B34" i="72"/>
  <c r="D124" i="9"/>
  <c r="D10" i="52"/>
  <c r="D17" i="53"/>
  <c r="B36" i="72"/>
  <c r="D125" i="9"/>
  <c r="D11" i="52"/>
  <c r="M49" i="9"/>
  <c r="L63" i="9"/>
  <c r="M63" i="9"/>
  <c r="L64" i="9"/>
  <c r="M64" i="9"/>
  <c r="L65" i="9"/>
  <c r="M65" i="9"/>
  <c r="L66" i="9"/>
  <c r="M66" i="9"/>
  <c r="L67" i="9"/>
  <c r="M67" i="9"/>
  <c r="L68" i="9"/>
  <c r="M68" i="9"/>
  <c r="M69" i="9"/>
  <c r="N69" i="9"/>
  <c r="H14" i="74"/>
  <c r="B7" i="74"/>
  <c r="D7" i="74"/>
  <c r="C7" i="74"/>
  <c r="G47" i="39"/>
  <c r="I47" i="39"/>
  <c r="G52" i="39"/>
  <c r="H52" i="39"/>
  <c r="G51" i="39"/>
  <c r="H51" i="39"/>
  <c r="I51" i="39"/>
  <c r="J51" i="39"/>
  <c r="C47" i="39"/>
  <c r="E47" i="39"/>
  <c r="E51" i="39"/>
  <c r="F51" i="39"/>
  <c r="E52" i="39"/>
  <c r="F52" i="39"/>
  <c r="I52" i="39"/>
  <c r="J52" i="39"/>
  <c r="B3" i="39"/>
  <c r="D35" i="9"/>
  <c r="C35" i="9"/>
  <c r="F118" i="9"/>
  <c r="G118" i="9"/>
  <c r="G4" i="52"/>
  <c r="B52" i="72"/>
  <c r="C34" i="9"/>
  <c r="D118" i="9"/>
  <c r="D119" i="9"/>
  <c r="D5" i="52"/>
  <c r="B49" i="72"/>
  <c r="C104" i="9"/>
  <c r="M48" i="9"/>
  <c r="I118" i="9"/>
  <c r="C105" i="9"/>
  <c r="H119" i="9"/>
  <c r="H5" i="52"/>
  <c r="F4" i="52"/>
  <c r="B51" i="72"/>
  <c r="F119" i="9"/>
  <c r="F5" i="52"/>
  <c r="B53" i="72"/>
  <c r="H4" i="52"/>
  <c r="D4" i="52"/>
  <c r="B47" i="72"/>
  <c r="I4" i="52"/>
  <c r="D5" i="53"/>
  <c r="B20" i="72"/>
  <c r="H102" i="9"/>
  <c r="D7" i="53"/>
  <c r="B21" i="72"/>
  <c r="E118" i="9"/>
  <c r="E4" i="52"/>
  <c r="B48" i="72"/>
  <c r="D14" i="74"/>
  <c r="E14" i="74"/>
  <c r="F14" i="74"/>
  <c r="D45" i="9"/>
  <c r="D52" i="9"/>
  <c r="D6" i="53"/>
  <c r="B22" i="72"/>
  <c r="B5" i="74"/>
  <c r="D5" i="74"/>
  <c r="C5" i="74"/>
  <c r="C64" i="9"/>
  <c r="C63" i="9"/>
  <c r="C67" i="9"/>
  <c r="C68" i="9"/>
  <c r="D54" i="9"/>
  <c r="C72" i="9"/>
  <c r="C78" i="9"/>
  <c r="C73" i="9"/>
  <c r="C79" i="9"/>
  <c r="C80" i="9"/>
  <c r="C81" i="9"/>
  <c r="C85" i="9"/>
  <c r="C93" i="9"/>
  <c r="C86" i="9"/>
  <c r="C95" i="9"/>
  <c r="C96" i="9"/>
  <c r="E96" i="9"/>
  <c r="E97" i="9"/>
  <c r="E80" i="9"/>
  <c r="E81" i="9"/>
  <c r="D53" i="9"/>
  <c r="D48" i="9"/>
  <c r="M52" i="9"/>
  <c r="D55" i="9"/>
  <c r="M53" i="9"/>
  <c r="C97" i="9"/>
  <c r="D58" i="9"/>
  <c r="D56" i="9"/>
  <c r="M54" i="9"/>
  <c r="N57" i="9"/>
  <c r="P57" i="9"/>
  <c r="N58" i="9"/>
  <c r="N59" i="9"/>
  <c r="N61" i="9"/>
  <c r="N60" i="9"/>
  <c r="H103" i="9"/>
  <c r="D120" i="9"/>
  <c r="K120" i="9"/>
  <c r="A18" i="62"/>
  <c r="B64" i="72"/>
  <c r="D121" i="9"/>
  <c r="D7" i="52"/>
  <c r="D6" i="52"/>
  <c r="D8" i="53"/>
  <c r="B24" i="72"/>
  <c r="D9" i="53"/>
  <c r="B25" i="72"/>
  <c r="D12" i="53"/>
  <c r="B28" i="72"/>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F27" i="69"/>
  <c r="C46" i="69"/>
  <c r="C45" i="69"/>
  <c r="C47" i="69"/>
  <c r="D45" i="69"/>
  <c r="C49" i="69"/>
  <c r="C51" i="69"/>
  <c r="C28" i="69"/>
  <c r="C27" i="69"/>
  <c r="C29" i="69"/>
  <c r="D27" i="69"/>
  <c r="C31" i="69"/>
  <c r="C52" i="69"/>
  <c r="C57" i="69"/>
  <c r="C56" i="69"/>
  <c r="B2" i="69"/>
  <c r="B3" i="69"/>
  <c r="D102" i="9"/>
  <c r="D21" i="9"/>
  <c r="D103" i="9"/>
  <c r="K12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XM Ning</author>
    <author>USER</author>
  </authors>
  <commentList>
    <comment ref="F9" authorId="0">
      <text>
        <r>
          <rPr>
            <b/>
            <sz val="10"/>
            <color indexed="81"/>
            <rFont val="宋体"/>
            <family val="3"/>
            <charset val="134"/>
          </rPr>
          <t>XM Ning:</t>
        </r>
        <r>
          <rPr>
            <sz val="10"/>
            <color indexed="81"/>
            <rFont val="宋体"/>
            <family val="3"/>
            <charset val="134"/>
          </rPr>
          <t xml:space="preserve">
物业管理231.24</t>
        </r>
      </text>
    </comment>
    <comment ref="B23" authorId="1">
      <text>
        <r>
          <rPr>
            <b/>
            <sz val="9"/>
            <color indexed="81"/>
            <rFont val="宋体"/>
            <family val="3"/>
            <charset val="134"/>
          </rPr>
          <t>USER:</t>
        </r>
        <r>
          <rPr>
            <sz val="9"/>
            <color indexed="81"/>
            <rFont val="宋体"/>
            <family val="3"/>
            <charset val="134"/>
          </rPr>
          <t xml:space="preserve">
企业提供</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<sst xmlns="http://schemas.openxmlformats.org/spreadsheetml/2006/main" count="8980" uniqueCount="3490">
  <si>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</si>
  <si>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</si>
  <si>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</si>
  <si>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</si>
  <si>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</si>
  <si>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</si>
  <si>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</si>
  <si>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</si>
  <si>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</si>
  <si>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</si>
  <si>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</si>
  <si>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</si>
  <si>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</si>
  <si>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</si>
  <si>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</si>
  <si>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</si>
  <si>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</si>
  <si>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</si>
  <si>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</si>
  <si>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</si>
  <si>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</si>
  <si>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</si>
  <si>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</si>
  <si>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</si>
  <si>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</si>
  <si>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</si>
  <si>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</si>
  <si>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</si>
  <si>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</si>
  <si>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</si>
  <si>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</si>
  <si>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</si>
  <si>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</si>
  <si>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</si>
  <si>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</si>
  <si>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</si>
  <si>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</si>
  <si>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</si>
  <si>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</si>
  <si>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</si>
  <si>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</si>
  <si>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</si>
  <si>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</si>
  <si>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</si>
  <si>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</si>
  <si>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</si>
  <si>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</si>
  <si>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</si>
  <si>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</si>
  <si>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</si>
  <si>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</si>
  <si>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</si>
  <si>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</si>
  <si>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</si>
  <si>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</si>
  <si>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</si>
  <si>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</si>
  <si>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</si>
  <si>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</si>
  <si>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</si>
  <si>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</si>
  <si>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</si>
  <si>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</si>
  <si>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</si>
  <si>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</si>
  <si>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</si>
  <si>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</si>
  <si>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</si>
  <si>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</si>
  <si>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</si>
  <si>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</si>
  <si>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</si>
  <si>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</si>
  <si>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</si>
  <si>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</si>
  <si>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</si>
  <si>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</si>
  <si>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</si>
  <si>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</si>
  <si>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</si>
  <si>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</si>
  <si>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</si>
  <si>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</si>
  <si>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</si>
  <si>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</si>
  <si>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</si>
  <si>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</si>
  <si>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</si>
  <si>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</si>
  <si>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</si>
  <si>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</si>
  <si>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</si>
  <si>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</si>
  <si>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</si>
  <si>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</si>
  <si>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</si>
  <si>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</si>
  <si>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</si>
  <si>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</si>
  <si>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</si>
  <si>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</si>
  <si>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</si>
  <si>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</si>
  <si>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</si>
  <si>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</si>
  <si>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</si>
  <si>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</si>
  <si>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</si>
  <si>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</si>
  <si>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</si>
  <si>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</si>
  <si>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</si>
  <si>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</si>
  <si>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</si>
  <si>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</si>
  <si>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</si>
  <si>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</si>
  <si>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</si>
  <si>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</si>
  <si>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</si>
  <si>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</si>
  <si>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</si>
  <si>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</si>
  <si>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</si>
  <si>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</si>
  <si>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</si>
  <si>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</si>
  <si>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</si>
  <si>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</si>
  <si>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</si>
  <si>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</si>
  <si>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</si>
  <si>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</si>
  <si>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</si>
  <si>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</si>
  <si>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</si>
  <si>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</si>
  <si>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</si>
  <si>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</si>
  <si>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</si>
  <si>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</si>
  <si>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</si>
  <si>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</si>
  <si>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</si>
  <si>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</si>
  <si>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</si>
  <si>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</si>
  <si>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</si>
  <si>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</si>
  <si>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</si>
  <si>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</si>
  <si>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</si>
  <si>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</si>
  <si>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</si>
  <si>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</si>
  <si>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</si>
  <si>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</si>
  <si>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</si>
  <si>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</si>
  <si>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</si>
  <si>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</si>
  <si>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</si>
  <si>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</si>
  <si>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</si>
  <si>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</si>
  <si>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</si>
  <si>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</si>
  <si>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</si>
  <si>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</si>
  <si>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</si>
  <si>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</si>
  <si>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</si>
  <si>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</si>
  <si>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</si>
  <si>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</si>
  <si>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</si>
  <si>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</si>
  <si>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</si>
  <si>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</si>
  <si>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</si>
  <si>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</si>
  <si>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</si>
  <si>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</si>
  <si>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</si>
  <si>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</si>
  <si>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</si>
  <si>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</si>
  <si>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</si>
  <si>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</si>
  <si>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</si>
  <si>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</si>
  <si>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</si>
  <si>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</si>
  <si>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</si>
  <si>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</si>
  <si>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</si>
  <si>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</si>
  <si>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</si>
  <si>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</si>
  <si>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</si>
  <si>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</si>
  <si>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</si>
  <si>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</si>
  <si>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</si>
  <si>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</si>
  <si>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</si>
  <si>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</si>
  <si>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</si>
  <si>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</si>
  <si>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</si>
  <si>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</si>
  <si>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</si>
  <si>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</si>
  <si>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</si>
  <si>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</si>
  <si>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</si>
  <si>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</si>
  <si>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</si>
  <si>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</si>
  <si>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</si>
  <si>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</si>
  <si>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</si>
  <si>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</si>
  <si>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</si>
  <si>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</si>
  <si>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</si>
  <si>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</si>
  <si>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</si>
  <si>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</si>
  <si>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</si>
  <si>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</si>
  <si>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</si>
  <si>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</si>
  <si>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</si>
  <si>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</si>
  <si>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</si>
  <si>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</si>
  <si>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</si>
  <si>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</si>
  <si>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</si>
  <si>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</si>
  <si>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</si>
  <si>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</si>
  <si>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</si>
  <si>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</si>
  <si>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</si>
  <si>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</si>
  <si>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</si>
  <si>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</si>
  <si>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</si>
  <si>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</si>
  <si>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</si>
  <si>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</si>
  <si>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</si>
  <si>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</si>
  <si>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</si>
  <si>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</si>
  <si>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</si>
  <si>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</si>
  <si>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</si>
  <si>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</si>
  <si>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</si>
  <si>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</si>
  <si>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</si>
  <si>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</si>
  <si>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</si>
  <si>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</si>
  <si>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</si>
  <si>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</si>
  <si>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</si>
  <si>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</si>
  <si>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</si>
  <si>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</si>
  <si>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</si>
  <si>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</si>
  <si>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</si>
  <si>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</si>
  <si>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</si>
  <si>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</si>
  <si>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</si>
  <si>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</si>
  <si>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</si>
  <si>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</si>
  <si>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</si>
  <si>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</si>
  <si>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</si>
  <si>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</si>
  <si>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</si>
  <si>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</si>
  <si>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</si>
  <si>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</si>
  <si>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</si>
  <si>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</si>
  <si>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</si>
  <si>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</si>
  <si>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</si>
  <si>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</si>
  <si>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</si>
  <si>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</si>
  <si>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</si>
  <si>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</si>
  <si>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</si>
  <si>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</si>
  <si>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</si>
  <si>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</si>
  <si>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</si>
  <si>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</si>
  <si>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</si>
  <si>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</si>
  <si>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</si>
  <si>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</si>
  <si>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</si>
  <si>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</si>
  <si>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</si>
  <si>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</si>
  <si>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</si>
  <si>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</si>
  <si>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</si>
  <si>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</si>
  <si>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</si>
  <si>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</si>
  <si>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</si>
  <si>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</si>
  <si>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</si>
  <si>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</si>
  <si>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</si>
  <si>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</si>
  <si>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</si>
  <si>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</si>
  <si>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</si>
  <si>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</si>
  <si>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</si>
  <si>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</si>
  <si>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</si>
  <si>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</si>
  <si>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</si>
  <si>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</si>
  <si>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</si>
  <si>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</si>
  <si>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</si>
  <si>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</si>
  <si>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</si>
  <si>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</si>
  <si>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</si>
  <si>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</si>
  <si>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</si>
  <si>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</si>
  <si>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</si>
  <si>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</si>
  <si>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</si>
  <si>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</si>
  <si>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</si>
  <si>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</si>
  <si>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</si>
  <si>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</si>
  <si>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</si>
  <si>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</si>
  <si>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</si>
  <si>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</si>
  <si>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</si>
  <si>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</si>
  <si>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</si>
  <si>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</si>
  <si>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</si>
  <si>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</si>
  <si>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</si>
  <si>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</si>
  <si>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</si>
  <si>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</si>
  <si>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</si>
  <si>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</si>
  <si>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</si>
  <si>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</si>
  <si>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</si>
  <si>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</si>
  <si>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</si>
  <si>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</si>
  <si>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</si>
  <si>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</si>
  <si>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</si>
  <si>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</si>
  <si>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</si>
  <si>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</si>
  <si>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</si>
  <si>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</si>
  <si>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</si>
  <si>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</si>
  <si>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</si>
  <si>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</si>
  <si>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</si>
  <si>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</si>
  <si>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</si>
  <si>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</si>
  <si>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</si>
  <si>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</si>
  <si>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</si>
  <si>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</si>
  <si>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</si>
  <si>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</si>
  <si>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</si>
  <si>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</si>
  <si>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</si>
  <si>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</si>
  <si>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</si>
  <si>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</si>
  <si>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</si>
  <si>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</si>
  <si>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</si>
  <si>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</si>
  <si>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</si>
  <si>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</si>
  <si>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</si>
  <si>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</si>
  <si>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</si>
  <si>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</si>
  <si>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</si>
  <si>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</si>
  <si>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</si>
  <si>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</si>
  <si>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</si>
  <si>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</si>
  <si>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</si>
  <si>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</si>
  <si>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</si>
  <si>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</si>
  <si>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</si>
  <si>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</si>
  <si>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</si>
  <si>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</si>
  <si>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</si>
  <si>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</si>
  <si>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</si>
  <si>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</si>
  <si>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</si>
  <si>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</si>
  <si>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</si>
  <si>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</si>
  <si>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</si>
  <si>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</si>
  <si>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</si>
  <si>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</si>
  <si>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</si>
  <si>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</si>
  <si>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</si>
  <si>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</si>
  <si>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</si>
  <si>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</si>
  <si>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</si>
  <si>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</si>
  <si>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</si>
  <si>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</si>
  <si>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</si>
  <si>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</si>
  <si>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</si>
  <si>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</si>
  <si>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</si>
  <si>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</si>
  <si>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</si>
  <si>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</si>
  <si>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</si>
  <si>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</si>
  <si>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</si>
  <si>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</si>
  <si>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</si>
  <si>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</si>
  <si>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</si>
  <si>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</si>
  <si>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</si>
  <si>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</si>
  <si>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</si>
  <si>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</si>
  <si>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</si>
  <si>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</si>
  <si>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</si>
  <si>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</si>
  <si>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</si>
  <si>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</si>
  <si>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</si>
  <si>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</si>
  <si>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</si>
  <si>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</si>
  <si>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</si>
  <si>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</si>
  <si>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</si>
  <si>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</si>
  <si>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</si>
  <si>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</si>
  <si>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</si>
  <si>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</si>
  <si>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</si>
  <si>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</si>
  <si>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</si>
  <si>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</si>
  <si>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</si>
  <si>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</si>
  <si>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</si>
  <si>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</si>
  <si>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</si>
  <si>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</si>
  <si>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</si>
  <si>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</si>
  <si>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</si>
  <si>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</si>
  <si>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</si>
  <si>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</si>
  <si>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</si>
  <si>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</si>
  <si>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</si>
  <si>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</si>
  <si>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</si>
  <si>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</si>
  <si>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</si>
  <si>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</si>
  <si>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</si>
  <si>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</si>
  <si>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</si>
  <si>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</si>
  <si>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</si>
  <si>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</si>
  <si>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</si>
  <si>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</si>
  <si>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</si>
  <si>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</si>
  <si>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</si>
  <si>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</si>
  <si>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</si>
  <si>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</si>
  <si>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</si>
  <si>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</si>
  <si>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</si>
  <si>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</si>
  <si>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</si>
  <si>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</si>
  <si>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</si>
  <si>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</si>
  <si>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</si>
  <si>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</si>
  <si>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</si>
  <si>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</si>
  <si>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</si>
  <si>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</si>
  <si>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</si>
  <si>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</si>
  <si>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</si>
  <si>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</si>
  <si>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</si>
  <si>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</si>
  <si>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</si>
  <si>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</si>
  <si>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</si>
  <si>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</si>
  <si>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</si>
  <si>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</si>
  <si>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</si>
  <si>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</si>
  <si>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</si>
  <si>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</si>
  <si>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</si>
  <si>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</si>
  <si>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</si>
  <si>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</si>
  <si>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</si>
  <si>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</si>
  <si>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</si>
  <si>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</si>
  <si>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</si>
  <si>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</si>
  <si>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</si>
  <si>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</si>
  <si>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</si>
  <si>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</si>
  <si>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</si>
  <si>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</si>
  <si>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</si>
  <si>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</si>
  <si>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</si>
  <si>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</si>
  <si>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</si>
  <si>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</si>
  <si>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</si>
  <si>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</si>
  <si>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</si>
  <si>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</si>
  <si>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</si>
  <si>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</si>
  <si>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</si>
  <si>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</si>
  <si>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</si>
  <si>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</si>
  <si>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</si>
  <si>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</si>
  <si>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</si>
  <si>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</si>
  <si>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</si>
  <si>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</si>
  <si>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</si>
  <si>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</si>
  <si>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</si>
  <si>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</si>
  <si>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</si>
  <si>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</si>
  <si>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</si>
  <si>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</si>
  <si>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</si>
  <si>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</si>
  <si>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</si>
  <si>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</si>
  <si>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</si>
  <si>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</si>
  <si>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</si>
  <si>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</si>
  <si>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</si>
  <si>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</si>
  <si>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</si>
  <si>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</si>
  <si>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</si>
  <si>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</si>
  <si>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</si>
  <si>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</si>
  <si>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</si>
  <si>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</si>
  <si>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</si>
  <si>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</si>
  <si>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</si>
  <si>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</si>
  <si>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</si>
  <si>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</si>
  <si>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</si>
  <si>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</si>
  <si>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</si>
  <si>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</si>
  <si>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</si>
  <si>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</si>
  <si>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</si>
  <si>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</si>
  <si>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</si>
  <si>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</si>
  <si>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</si>
  <si>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</si>
  <si>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</si>
  <si>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</si>
  <si>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</si>
  <si>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</si>
  <si>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</si>
  <si>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</si>
  <si>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</si>
  <si>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</si>
  <si>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</si>
  <si>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</si>
  <si>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</si>
  <si>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</si>
  <si>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</si>
  <si>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</si>
  <si>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</si>
  <si>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</si>
  <si>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</si>
  <si>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</si>
  <si>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</si>
  <si>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</si>
  <si>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</si>
  <si>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</si>
  <si>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</si>
  <si>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</si>
  <si>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</si>
  <si>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</si>
  <si>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</si>
  <si>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</si>
  <si>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</si>
  <si>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</si>
  <si>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</si>
  <si>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</si>
  <si>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</si>
  <si>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</si>
  <si>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</si>
  <si>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</si>
  <si>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</si>
  <si>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</si>
  <si>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</si>
  <si>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</si>
  <si>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</si>
  <si>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</si>
  <si>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</si>
  <si>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</si>
  <si>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</si>
  <si>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</si>
  <si>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</si>
  <si>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</si>
  <si>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</si>
  <si>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</si>
  <si>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</si>
  <si>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</si>
  <si>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</si>
  <si>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</si>
  <si>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</si>
  <si>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</si>
  <si>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</si>
  <si>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</si>
  <si>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</si>
  <si>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</si>
  <si>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</si>
  <si>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</si>
  <si>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</si>
  <si>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</si>
  <si>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</si>
  <si>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</si>
  <si>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</si>
  <si>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</si>
  <si>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</si>
  <si>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</si>
  <si>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</si>
  <si>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</si>
  <si>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</si>
  <si>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</si>
  <si>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</si>
  <si>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</si>
  <si>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</si>
  <si>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</si>
  <si>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</si>
  <si>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</si>
  <si>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</si>
  <si>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</si>
  <si>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</si>
  <si>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</si>
  <si>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</si>
  <si>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</si>
  <si>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</si>
  <si>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</si>
  <si>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</si>
  <si>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</si>
  <si>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</si>
  <si>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</si>
  <si>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</si>
  <si>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</si>
  <si>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</si>
  <si>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</si>
  <si>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</si>
  <si>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</si>
  <si>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</si>
  <si>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</si>
  <si>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</si>
  <si>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</si>
  <si>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</si>
  <si>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</si>
  <si>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</si>
  <si>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</si>
  <si>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</si>
  <si>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</si>
  <si>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</si>
  <si>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</si>
  <si>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</si>
  <si>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</si>
  <si>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</si>
  <si>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</si>
  <si>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</si>
  <si>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</si>
  <si>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</si>
  <si>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</si>
  <si>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</si>
  <si>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</si>
  <si>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</si>
  <si>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</si>
  <si>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</si>
  <si>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</si>
  <si>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</si>
  <si>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</si>
  <si>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</si>
  <si>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</si>
  <si>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</si>
  <si>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</si>
  <si>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</si>
  <si>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</si>
  <si>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</si>
  <si>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</si>
  <si>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</si>
  <si>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</si>
  <si>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</si>
  <si>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</si>
  <si>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</si>
  <si>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</si>
  <si>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</si>
  <si>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</si>
  <si>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</si>
  <si>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</si>
  <si>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</si>
  <si>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</si>
  <si>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</si>
  <si>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</si>
  <si>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</si>
  <si>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</si>
  <si>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</si>
  <si>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</si>
  <si>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</si>
  <si>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</si>
  <si>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</si>
  <si>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</si>
  <si>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</si>
  <si>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</si>
  <si>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</si>
  <si>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</si>
  <si>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</si>
  <si>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</si>
  <si>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</si>
  <si>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</si>
  <si>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</si>
  <si>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</si>
  <si>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</si>
  <si>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</si>
  <si>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</si>
  <si>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</si>
  <si>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</si>
  <si>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</si>
  <si>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</si>
  <si>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</si>
  <si>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</si>
  <si>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</si>
  <si>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</si>
  <si>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</si>
  <si>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</si>
  <si>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</si>
  <si>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</si>
  <si>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</si>
  <si>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</si>
  <si>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</si>
  <si>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</si>
  <si>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</si>
  <si>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</si>
  <si>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</si>
  <si>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</si>
  <si>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</si>
  <si>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</si>
  <si>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</si>
  <si>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</si>
  <si>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</si>
  <si>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</si>
  <si>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</si>
  <si>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</si>
  <si>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</si>
  <si>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</si>
  <si>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</si>
  <si>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</si>
  <si>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</si>
  <si>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</si>
  <si>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</si>
  <si>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</si>
  <si>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</si>
  <si>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</si>
  <si>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</si>
  <si>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</si>
  <si>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</si>
  <si>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</si>
  <si>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</si>
  <si>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</si>
  <si>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</si>
  <si>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</si>
  <si>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</si>
  <si>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</si>
  <si>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</si>
  <si>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</si>
  <si>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</si>
  <si>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</si>
  <si>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</si>
  <si>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</si>
  <si>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</si>
  <si>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</si>
  <si>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</si>
  <si>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</si>
  <si>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</si>
  <si>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</si>
  <si>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</si>
  <si>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</si>
  <si>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</si>
  <si>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</si>
  <si>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</si>
  <si>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</si>
  <si>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</si>
  <si>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</si>
  <si>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</si>
  <si>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</si>
  <si>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</si>
  <si>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</si>
  <si>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</si>
  <si>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</si>
  <si>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</si>
  <si>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</si>
  <si>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</si>
  <si>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</si>
  <si>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</si>
  <si>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</si>
  <si>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</si>
  <si>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</si>
  <si>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</si>
  <si>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</si>
  <si>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</si>
  <si>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</si>
  <si>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</si>
  <si>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</si>
  <si>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</si>
  <si>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</si>
  <si>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</si>
  <si>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</si>
  <si>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</si>
  <si>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</si>
  <si>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</si>
  <si>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</si>
  <si>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</si>
  <si>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</si>
  <si>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</si>
  <si>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</si>
  <si>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</si>
  <si>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</si>
  <si>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</si>
  <si>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</si>
  <si>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</si>
  <si>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</si>
  <si>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</si>
  <si>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</si>
  <si>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</si>
  <si>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</si>
  <si>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</si>
  <si>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</si>
  <si>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</si>
  <si>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</si>
  <si>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</si>
  <si>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</si>
  <si>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</si>
  <si>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</si>
  <si>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</si>
  <si>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</si>
  <si>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</si>
  <si>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</si>
  <si>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</si>
  <si>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</si>
  <si>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</si>
  <si>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</si>
  <si>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</si>
  <si>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</si>
  <si>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</si>
  <si>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</si>
  <si>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</si>
  <si>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</si>
  <si>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</si>
  <si>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</si>
  <si>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</si>
  <si>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</si>
  <si>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</si>
  <si>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</si>
  <si>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</si>
  <si>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</si>
  <si>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</si>
  <si>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</si>
  <si>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</si>
  <si>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</si>
  <si>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</si>
  <si>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</si>
  <si>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</si>
  <si>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</si>
  <si>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</si>
  <si>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</si>
  <si>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</si>
  <si>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</si>
  <si>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</si>
  <si>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</si>
  <si>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</si>
  <si>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</si>
  <si>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</si>
  <si>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</si>
  <si>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</si>
  <si>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</si>
  <si>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</si>
  <si>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</si>
  <si>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</si>
  <si>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</si>
  <si>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</si>
  <si>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</si>
  <si>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</si>
  <si>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</si>
  <si>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</si>
  <si>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</si>
  <si>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</si>
  <si>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</si>
  <si>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</si>
  <si>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</si>
  <si>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</si>
  <si>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</si>
  <si>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</si>
  <si>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</si>
  <si>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</si>
  <si>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</si>
  <si>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</si>
  <si>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</si>
  <si>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</si>
  <si>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</si>
  <si>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</si>
  <si>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</si>
  <si>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</si>
  <si>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</si>
  <si>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</si>
  <si>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</si>
  <si>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</si>
  <si>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</si>
  <si>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</si>
  <si>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</si>
  <si>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</si>
  <si>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</si>
  <si>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</si>
  <si>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</si>
  <si>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</si>
  <si>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</si>
  <si>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</si>
  <si>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</si>
  <si>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</si>
  <si>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</si>
  <si>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</si>
  <si>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</si>
  <si>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</si>
  <si>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</si>
  <si>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</si>
  <si>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</si>
  <si>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</si>
  <si>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</si>
  <si>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</si>
  <si>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</si>
  <si>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</si>
  <si>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</si>
  <si>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</si>
  <si>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</si>
  <si>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</si>
  <si>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</si>
  <si>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</si>
  <si>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</si>
  <si>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</si>
  <si>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</si>
  <si>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</si>
  <si>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</si>
  <si>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</si>
  <si>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</si>
  <si>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</si>
  <si>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</si>
  <si>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</si>
  <si>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</si>
  <si>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</si>
  <si>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</si>
  <si>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</si>
  <si>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</si>
  <si>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</si>
  <si>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</si>
  <si>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</si>
  <si>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</si>
  <si>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</si>
  <si>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</si>
  <si>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</si>
  <si>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</si>
  <si>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</si>
  <si>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</si>
  <si>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</si>
  <si>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</si>
  <si>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</si>
  <si>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</si>
  <si>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</si>
  <si>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</si>
  <si>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</si>
  <si>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</si>
  <si>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</si>
  <si>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</si>
  <si>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</si>
  <si>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</si>
  <si>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</si>
  <si>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</si>
  <si>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</si>
  <si>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</si>
  <si>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</si>
  <si>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</si>
  <si>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</si>
  <si>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</si>
  <si>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</si>
  <si>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</si>
  <si>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</si>
  <si>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</si>
  <si>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</si>
  <si>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</si>
  <si>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</si>
  <si>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</si>
  <si>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</si>
  <si>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</si>
  <si>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</si>
  <si>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</si>
  <si>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</si>
  <si>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</si>
  <si>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</si>
  <si>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</si>
  <si>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</si>
  <si>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</si>
  <si>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</si>
  <si>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</si>
  <si>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</si>
  <si>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</si>
  <si>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</si>
  <si>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</si>
  <si>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</si>
  <si>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</si>
  <si>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</si>
  <si>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</si>
  <si>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</si>
  <si>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</si>
  <si>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</si>
  <si>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</si>
  <si>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</si>
  <si>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</si>
  <si>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</si>
  <si>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</si>
  <si>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</si>
  <si>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</si>
  <si>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</si>
  <si>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</si>
  <si>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</si>
  <si>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</si>
  <si>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</si>
  <si>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</si>
  <si>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</si>
  <si>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</si>
  <si>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</si>
  <si>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</si>
  <si>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</si>
  <si>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</si>
  <si>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</si>
  <si>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</si>
  <si>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</si>
  <si>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</si>
  <si>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</si>
  <si>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</si>
  <si>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</si>
  <si>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</si>
  <si>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</si>
  <si>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</si>
  <si>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</si>
  <si>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</si>
  <si>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</si>
  <si>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</si>
  <si>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</si>
  <si>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</si>
  <si>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</si>
  <si>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</si>
  <si>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</si>
  <si>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</si>
  <si>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</si>
  <si>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</si>
  <si>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</si>
  <si>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</si>
  <si>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</si>
  <si>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</si>
  <si>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</si>
  <si>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</si>
  <si>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</si>
  <si>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</si>
  <si>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</si>
  <si>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</si>
  <si>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</si>
  <si>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</si>
  <si>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</si>
  <si>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</si>
  <si>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</si>
  <si>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</si>
  <si>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</si>
  <si>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</si>
  <si>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</si>
  <si>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</si>
  <si>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</si>
  <si>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</si>
  <si>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</si>
  <si>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</si>
  <si>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</si>
  <si>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</si>
  <si>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</si>
  <si>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</si>
  <si>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</si>
  <si>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</si>
  <si>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</si>
  <si>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</si>
  <si>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</si>
  <si>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</si>
  <si>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</si>
  <si>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</si>
  <si>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</si>
  <si>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</si>
  <si>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</si>
  <si>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</si>
  <si>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</si>
  <si>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</si>
  <si>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</si>
  <si>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</si>
  <si>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</si>
  <si>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</si>
  <si>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</si>
  <si>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</si>
  <si>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</si>
  <si>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</si>
  <si>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</si>
  <si>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</si>
  <si>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</si>
  <si>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</si>
  <si>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</si>
  <si>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</si>
  <si>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</si>
  <si>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</si>
  <si>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</si>
  <si>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</si>
  <si>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</si>
  <si>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</si>
  <si>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</si>
  <si>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</si>
  <si>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</si>
  <si>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</si>
  <si>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</si>
  <si>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</si>
  <si>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</si>
  <si>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</si>
  <si>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</si>
  <si>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</si>
  <si>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</si>
  <si>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</si>
  <si>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</si>
  <si>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</si>
  <si>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</si>
  <si>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</si>
  <si>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</si>
  <si>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</si>
  <si>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</si>
  <si>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</si>
  <si>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</si>
  <si>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</si>
  <si>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</si>
  <si>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</si>
  <si>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</si>
  <si>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</si>
  <si>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</si>
  <si>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</si>
  <si>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</si>
  <si>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</si>
  <si>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</si>
  <si>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</si>
  <si>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</si>
  <si>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</si>
  <si>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</si>
  <si>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</si>
  <si>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</si>
  <si>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</si>
  <si>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</si>
  <si>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</si>
  <si>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</si>
  <si>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</si>
  <si>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</si>
  <si>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</si>
  <si>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</si>
  <si>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</si>
  <si>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</si>
  <si>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</si>
  <si>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</si>
  <si>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</si>
  <si>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</si>
  <si>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</si>
  <si>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</si>
  <si>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</si>
  <si>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</si>
  <si>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</si>
  <si>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</si>
  <si>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</si>
  <si>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</si>
  <si>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</si>
  <si>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</si>
  <si>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</si>
  <si>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</si>
  <si>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</si>
  <si>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</si>
  <si>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</si>
  <si>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</si>
  <si>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</si>
  <si>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</si>
  <si>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</si>
  <si>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</si>
  <si>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</si>
  <si>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</si>
  <si>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</si>
  <si>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</si>
  <si>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</si>
  <si>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</si>
  <si>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</si>
  <si>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</si>
  <si>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</si>
  <si>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</si>
  <si>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</si>
  <si>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</si>
  <si>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</si>
  <si>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</si>
  <si>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</si>
  <si>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</si>
  <si>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</si>
  <si>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</si>
  <si>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</si>
  <si>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</si>
  <si>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</si>
  <si>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</si>
  <si>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</si>
  <si>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</si>
  <si>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</si>
  <si>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</si>
  <si>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</si>
  <si>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</si>
  <si>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</si>
  <si>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</si>
  <si>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</si>
  <si>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</si>
  <si>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</si>
  <si>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</si>
  <si>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</si>
  <si>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</si>
  <si>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</si>
  <si>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</si>
  <si>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</si>
  <si>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</si>
  <si>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</si>
  <si>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</si>
  <si>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</si>
  <si>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</si>
  <si>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</si>
  <si>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</si>
  <si>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</si>
  <si>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</si>
  <si>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</si>
  <si>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</si>
  <si>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</si>
  <si>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</si>
  <si>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</si>
  <si>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</si>
  <si>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</si>
  <si>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</si>
  <si>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</si>
  <si>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</si>
  <si>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</si>
  <si>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</si>
  <si>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</si>
  <si>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</si>
  <si>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</si>
  <si>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</si>
  <si>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</si>
  <si>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</si>
  <si>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</si>
  <si>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</si>
  <si>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</si>
  <si>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</si>
  <si>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</si>
  <si>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</si>
  <si>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</si>
  <si>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</si>
  <si>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</si>
  <si>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</si>
  <si>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</si>
  <si>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</si>
  <si>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</si>
  <si>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</si>
  <si>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</si>
  <si>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</si>
  <si>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</si>
  <si>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</si>
  <si>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</si>
  <si>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</si>
  <si>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</si>
  <si>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</si>
  <si>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</si>
  <si>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</si>
  <si>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</si>
  <si>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</si>
  <si>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</si>
  <si>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</si>
  <si>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</si>
  <si>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</si>
  <si>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</si>
  <si>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</si>
  <si>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</si>
  <si>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</si>
  <si>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</si>
  <si>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</si>
  <si>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</si>
  <si>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</si>
  <si>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</si>
  <si>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</si>
  <si>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</si>
  <si>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</si>
  <si>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</si>
  <si>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</si>
  <si>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</si>
  <si>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</si>
  <si>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</si>
  <si>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</si>
  <si>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</si>
  <si>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</si>
  <si>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</si>
  <si>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</si>
  <si>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</si>
  <si>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</si>
  <si>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</si>
  <si>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</si>
  <si>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</si>
  <si>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</si>
  <si>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</si>
  <si>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</si>
  <si>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</si>
  <si>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</si>
  <si>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</si>
  <si>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</si>
  <si>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</si>
  <si>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</si>
  <si>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</si>
  <si>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</si>
  <si>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</si>
  <si>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</si>
  <si>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</si>
  <si>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</si>
  <si>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</si>
  <si>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</si>
  <si>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</si>
  <si>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</si>
  <si>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</si>
  <si>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</si>
  <si>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</si>
  <si>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</si>
  <si>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</si>
  <si>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</si>
  <si>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</si>
  <si>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</si>
  <si>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</si>
  <si>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</si>
  <si>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</si>
  <si>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</si>
  <si>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</si>
  <si>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</si>
  <si>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</si>
  <si>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</si>
  <si>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</si>
  <si>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</si>
  <si>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</si>
  <si>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</si>
  <si>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</si>
  <si>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</si>
  <si>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</si>
  <si>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</si>
  <si>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</si>
  <si>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</si>
  <si>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</si>
  <si>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</si>
  <si>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</si>
  <si>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</si>
  <si>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</si>
  <si>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</si>
  <si>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</si>
  <si>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</si>
  <si>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</si>
  <si>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</si>
  <si>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</si>
  <si>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</si>
  <si>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</si>
  <si>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</si>
  <si>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</si>
  <si>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</si>
  <si>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</si>
  <si>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</si>
  <si>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</si>
  <si>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</si>
  <si>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</si>
  <si>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</si>
  <si>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</si>
  <si>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</si>
  <si>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</si>
  <si>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</si>
  <si>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</si>
  <si>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</si>
  <si>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</si>
  <si>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</si>
  <si>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</si>
  <si>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</si>
  <si>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</si>
  <si>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</si>
  <si>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</si>
  <si>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</si>
  <si>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</si>
  <si>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</si>
  <si>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</si>
  <si>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</si>
  <si>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</si>
  <si>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</si>
  <si>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</si>
  <si>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</si>
  <si>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</si>
  <si>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</si>
  <si>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</si>
  <si>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</si>
  <si>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</si>
  <si>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</si>
  <si>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</si>
  <si>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</si>
  <si>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</si>
  <si>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</si>
  <si>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</si>
  <si>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</si>
  <si>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</si>
  <si>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</si>
  <si>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</si>
  <si>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</si>
  <si>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</si>
  <si>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</si>
  <si>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</si>
  <si>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</si>
  <si>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</si>
  <si>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</si>
  <si>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</si>
  <si>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</si>
  <si>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</si>
  <si>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</si>
  <si>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</si>
  <si>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</si>
  <si>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</si>
  <si>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</si>
  <si>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</si>
  <si>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</si>
  <si>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</si>
  <si>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</si>
  <si>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</si>
  <si>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</si>
  <si>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</si>
  <si>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</si>
  <si>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</si>
  <si>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</si>
  <si>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</si>
  <si>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</si>
  <si>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</si>
  <si>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</si>
  <si>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</si>
  <si>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</si>
  <si>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</si>
  <si>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</si>
  <si>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</si>
  <si>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</si>
  <si>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</si>
  <si>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</si>
  <si>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</si>
  <si>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</si>
  <si>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</si>
  <si>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</si>
  <si>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</si>
  <si>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</si>
  <si>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</si>
  <si>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</si>
  <si>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</si>
  <si>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</si>
  <si>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</si>
  <si>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</si>
  <si>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</si>
  <si>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</si>
  <si>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</si>
  <si>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</si>
  <si>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</si>
  <si>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</si>
  <si>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</si>
  <si>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</si>
  <si>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</si>
  <si>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</si>
  <si>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</si>
  <si>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</si>
  <si>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</si>
  <si>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</si>
  <si>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</si>
  <si>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</si>
  <si>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</si>
  <si>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</si>
  <si>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</si>
  <si>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</si>
  <si>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</si>
  <si>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</si>
  <si>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</si>
  <si>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</si>
  <si>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</si>
  <si>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</si>
  <si>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</si>
  <si>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</si>
  <si>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</si>
  <si>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</si>
  <si>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</si>
  <si>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</si>
  <si>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</si>
  <si>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</si>
  <si>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</si>
  <si>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</si>
  <si>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</si>
  <si>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</si>
  <si>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</si>
  <si>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</si>
  <si>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</si>
  <si>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</si>
  <si>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</si>
  <si>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</si>
  <si>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</si>
  <si>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</si>
  <si>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</si>
  <si>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</si>
  <si>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</si>
  <si>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</si>
  <si>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</si>
  <si>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</si>
  <si>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</si>
  <si>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</si>
  <si>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</si>
  <si>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</si>
  <si>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</si>
  <si>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</si>
  <si>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</si>
  <si>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</si>
  <si>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</si>
  <si>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</si>
  <si>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</si>
  <si>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</si>
  <si>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</si>
  <si>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</si>
  <si>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</si>
  <si>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</si>
  <si>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</si>
  <si>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</si>
  <si>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</si>
  <si>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</si>
  <si>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</si>
  <si>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</si>
  <si>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</si>
  <si>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</si>
  <si>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</si>
  <si>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</si>
  <si>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</si>
  <si>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</si>
  <si>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</si>
  <si>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</si>
  <si>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</si>
  <si>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</si>
  <si>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</si>
  <si>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</si>
  <si>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</si>
  <si>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</si>
  <si>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</si>
  <si>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</si>
  <si>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</si>
  <si>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</si>
  <si>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</si>
  <si>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</si>
  <si>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</si>
  <si>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</si>
  <si>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</si>
  <si>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</si>
  <si>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</si>
  <si>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</si>
  <si>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</si>
  <si>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</si>
  <si>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</si>
  <si>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</si>
  <si>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</si>
  <si>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</si>
  <si>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</si>
  <si>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</si>
  <si>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</si>
  <si>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</si>
  <si>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</si>
  <si>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</si>
  <si>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</si>
  <si>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</si>
  <si>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</si>
  <si>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</si>
  <si>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</si>
  <si>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</si>
  <si>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</si>
  <si>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</si>
  <si>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</si>
  <si>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</si>
  <si>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</si>
  <si>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</si>
  <si>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</si>
  <si>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</si>
  <si>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</si>
  <si>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</si>
  <si>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</si>
  <si>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</si>
  <si>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</si>
  <si>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</si>
  <si>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</si>
  <si>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</si>
  <si>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</si>
  <si>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</si>
  <si>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</si>
  <si>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</si>
  <si>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</si>
  <si>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</si>
  <si>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</si>
  <si>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</si>
  <si>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</si>
  <si>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</si>
  <si>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</si>
  <si>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</si>
  <si>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</si>
  <si>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</si>
  <si>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</si>
  <si>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</si>
  <si>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</si>
  <si>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</si>
  <si>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</si>
  <si>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</si>
  <si>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</si>
  <si>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</si>
  <si>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</si>
  <si>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</si>
  <si>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</si>
  <si>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</si>
  <si>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</si>
  <si>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</si>
  <si>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</si>
  <si>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</si>
  <si>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</si>
  <si>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</si>
  <si>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</si>
  <si>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</si>
  <si>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</si>
  <si>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</si>
  <si>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</si>
  <si>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</si>
  <si>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</si>
  <si>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</si>
  <si>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</si>
  <si>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</si>
  <si>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</si>
  <si>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</si>
  <si>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</si>
  <si>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</si>
  <si>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</si>
  <si>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</si>
  <si>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</si>
  <si>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</si>
  <si>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</si>
  <si>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</si>
  <si>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</si>
  <si>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</si>
  <si>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</si>
  <si>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</si>
  <si>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</si>
  <si>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</si>
  <si>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</si>
  <si>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</si>
  <si>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</si>
  <si>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</si>
  <si>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</si>
  <si>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</si>
  <si>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</si>
  <si>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</si>
  <si>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</si>
  <si>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</si>
  <si>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</si>
  <si>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</si>
  <si>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</si>
  <si>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</si>
  <si>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</si>
  <si>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</si>
  <si>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</si>
  <si>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</si>
  <si>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</si>
  <si>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</si>
  <si>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</si>
  <si>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</si>
  <si>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</si>
  <si>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</si>
  <si>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</si>
  <si>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</si>
  <si>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</si>
  <si>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</si>
  <si>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</si>
  <si>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</si>
  <si>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</si>
  <si>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</si>
  <si>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</si>
  <si>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</si>
  <si>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</si>
  <si>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</si>
  <si>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</si>
  <si>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</si>
  <si>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</si>
  <si>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</si>
  <si>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</si>
  <si>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</si>
  <si>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</si>
  <si>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</si>
  <si>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</si>
  <si>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</si>
  <si>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</si>
  <si>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</si>
  <si>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</si>
  <si>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</si>
  <si>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</si>
  <si>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</si>
  <si>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</si>
  <si>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</si>
  <si>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</si>
  <si>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</si>
  <si>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</si>
  <si>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</si>
  <si>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</si>
  <si>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</si>
  <si>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</si>
  <si>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</si>
  <si>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</si>
  <si>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</si>
  <si>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</si>
  <si>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</si>
  <si>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</si>
  <si>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</si>
  <si>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</si>
  <si>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</si>
  <si>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</si>
  <si>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</si>
  <si>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</si>
  <si>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</si>
  <si>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</si>
  <si>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</si>
  <si>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</si>
  <si>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</si>
  <si>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</si>
  <si>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</si>
  <si>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</si>
  <si>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</si>
  <si>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</si>
  <si>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</si>
  <si>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</si>
  <si>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</si>
  <si>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</si>
  <si>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</si>
  <si>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</si>
  <si>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</si>
  <si>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</si>
  <si>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</si>
  <si>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</si>
  <si>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</si>
  <si>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</si>
  <si>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</si>
  <si>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</si>
  <si>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</si>
  <si>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</si>
  <si>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</si>
  <si>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</si>
  <si>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</si>
  <si>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</si>
  <si>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</si>
  <si>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</si>
  <si>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</si>
  <si>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</si>
  <si>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</si>
  <si>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</si>
  <si>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</si>
  <si>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</si>
  <si>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</si>
  <si>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</si>
  <si>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</si>
  <si>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</si>
  <si>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</si>
  <si>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</si>
  <si>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</si>
  <si>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</si>
  <si>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</si>
  <si>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</si>
  <si>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</si>
  <si>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</si>
  <si>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</si>
  <si>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</si>
  <si>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</si>
  <si>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</si>
  <si>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</si>
  <si>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</si>
  <si>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</si>
  <si>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</si>
  <si>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</si>
  <si>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</si>
  <si>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</si>
  <si>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</si>
  <si>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</si>
  <si>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</si>
  <si>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</si>
  <si>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</si>
  <si>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</si>
  <si>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</si>
  <si>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</si>
  <si>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</si>
  <si>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</si>
  <si>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</si>
  <si>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</si>
  <si>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</si>
  <si>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</si>
  <si>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</si>
  <si>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</si>
  <si>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</si>
  <si>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</si>
  <si>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</si>
  <si>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</si>
  <si>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</si>
  <si>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</si>
  <si>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</si>
  <si>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</si>
  <si>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</si>
  <si>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</si>
  <si>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</si>
  <si>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</si>
  <si>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</si>
  <si>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</si>
  <si>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</si>
  <si>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</si>
  <si>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</si>
  <si>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</si>
  <si>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</si>
  <si>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</si>
  <si>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</si>
  <si>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</si>
  <si>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</si>
  <si>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</si>
  <si>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</si>
  <si>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</si>
  <si>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</si>
  <si>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</si>
  <si>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</si>
  <si>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</si>
  <si>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</si>
  <si>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</si>
  <si>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</si>
  <si>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</si>
  <si>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</si>
  <si>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</si>
  <si>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</si>
  <si>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</si>
  <si>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</si>
  <si>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</si>
  <si>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</si>
  <si>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</si>
  <si>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</si>
  <si>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</si>
  <si>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</si>
  <si>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</si>
  <si>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</si>
  <si>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</si>
  <si>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</si>
  <si>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</si>
  <si>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</si>
  <si>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</si>
  <si>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</si>
  <si>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</si>
  <si>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</si>
  <si>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</si>
  <si>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</si>
  <si>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</si>
  <si>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</si>
  <si>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</si>
  <si>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</si>
  <si>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</si>
  <si>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</si>
  <si>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</si>
  <si>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</si>
  <si>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</si>
  <si>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</si>
  <si>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</si>
  <si>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</si>
  <si>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</si>
  <si>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</si>
  <si>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</si>
  <si>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</si>
  <si>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</si>
  <si>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</si>
  <si>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</si>
  <si>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</si>
  <si>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</si>
  <si>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</si>
  <si>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</si>
  <si>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</si>
  <si>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</si>
  <si>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</si>
  <si>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</si>
  <si>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</si>
  <si>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</si>
  <si>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</si>
  <si>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</si>
  <si>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</si>
  <si>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</si>
  <si>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</si>
  <si>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</si>
  <si>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</si>
  <si>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</si>
  <si>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</si>
  <si>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</si>
  <si>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</si>
  <si>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</si>
  <si>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</si>
  <si>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</si>
  <si>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</si>
  <si>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</si>
  <si>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</si>
  <si>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</si>
  <si>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</si>
  <si>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</si>
  <si>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</si>
  <si>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</si>
  <si>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</si>
  <si>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</si>
  <si>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</si>
  <si>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</si>
  <si>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</si>
  <si>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</si>
  <si>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</si>
  <si>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</si>
  <si>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</si>
  <si>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</si>
  <si>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</si>
  <si>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</si>
  <si>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</si>
  <si>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</si>
  <si>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</si>
  <si>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</si>
  <si>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</si>
  <si>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</si>
  <si>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</si>
  <si>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</si>
  <si>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</si>
  <si>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</si>
  <si>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</si>
  <si>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</si>
  <si>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</si>
  <si>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</si>
  <si>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</si>
  <si>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</si>
  <si>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</si>
  <si>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</si>
  <si>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</si>
  <si>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</si>
  <si>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</si>
  <si>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</si>
  <si>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</si>
  <si>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</si>
  <si>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</si>
  <si>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</si>
  <si>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</si>
  <si>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</si>
  <si>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</si>
  <si>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</si>
  <si>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</si>
  <si>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</si>
  <si>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</si>
  <si>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</si>
  <si>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</si>
  <si>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</si>
  <si>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</si>
  <si>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</si>
  <si>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</si>
  <si>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</si>
  <si>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</si>
  <si>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</si>
  <si>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</si>
  <si>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</si>
  <si>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</si>
  <si>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</si>
  <si>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</si>
  <si>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</si>
  <si>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</si>
  <si>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</si>
  <si>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</si>
  <si>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</si>
  <si>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</si>
  <si>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</si>
  <si>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</si>
  <si>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</si>
  <si>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</si>
  <si>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</si>
  <si>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</si>
  <si>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</si>
  <si>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</si>
  <si>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</si>
  <si>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</si>
  <si>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</si>
  <si>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</si>
  <si>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</si>
  <si>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</si>
  <si>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</si>
  <si>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</si>
  <si>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</si>
  <si>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</si>
  <si>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</si>
  <si>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</si>
  <si>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</si>
  <si>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</si>
  <si>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</si>
  <si>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</si>
  <si>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</si>
  <si>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</si>
  <si>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</si>
  <si>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</si>
  <si>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</si>
  <si>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</si>
  <si>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</si>
  <si>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</si>
  <si>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</si>
  <si>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</si>
  <si>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</si>
  <si>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</si>
  <si>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</si>
  <si>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</si>
  <si>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</si>
  <si>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</si>
  <si>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</si>
  <si>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</si>
  <si>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</si>
  <si>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</si>
  <si>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</si>
  <si>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</si>
  <si>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</si>
  <si>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</si>
  <si>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</si>
  <si>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</si>
  <si>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</si>
  <si>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</si>
  <si>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</si>
  <si>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</si>
  <si>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</si>
  <si>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</si>
  <si>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</si>
  <si>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</si>
  <si>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</si>
  <si>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</si>
  <si>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</si>
  <si>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</si>
  <si>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</si>
  <si>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</si>
  <si>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</si>
  <si>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</si>
  <si>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</si>
  <si>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</si>
  <si>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</si>
  <si>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</si>
  <si>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</si>
  <si>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</si>
  <si>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</si>
  <si>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</si>
  <si>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</si>
  <si>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</si>
  <si>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</si>
  <si>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</si>
  <si>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</si>
  <si>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</si>
  <si>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</si>
  <si>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</si>
  <si>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</si>
  <si>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</si>
  <si>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</si>
  <si>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</si>
  <si>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</si>
  <si>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</si>
  <si>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</si>
  <si>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</si>
  <si>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</si>
  <si>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</si>
  <si>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</si>
  <si>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</si>
  <si>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</si>
  <si>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</si>
  <si>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</si>
  <si>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</si>
  <si>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</si>
  <si>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</si>
  <si>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</si>
  <si>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</si>
  <si>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</si>
  <si>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</si>
  <si>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</si>
  <si>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</si>
  <si>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</si>
  <si>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</si>
  <si>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</si>
  <si>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</si>
  <si>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</si>
  <si>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</si>
  <si>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</si>
  <si>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</si>
  <si>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</si>
  <si>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</si>
  <si>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</si>
  <si>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</si>
  <si>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</si>
  <si>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</si>
  <si>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</si>
  <si>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</si>
  <si>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</si>
  <si>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</si>
  <si>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</si>
  <si>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</si>
  <si>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</si>
  <si>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</si>
  <si>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</si>
  <si>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</si>
  <si>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</si>
  <si>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</si>
  <si>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</si>
  <si>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</si>
  <si>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</si>
  <si>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</si>
  <si>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</si>
  <si>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</si>
  <si>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</si>
  <si>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</si>
  <si>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</si>
  <si>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</si>
  <si>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</si>
  <si>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</si>
  <si>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</si>
  <si>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</si>
  <si>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</si>
  <si>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</si>
  <si>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</si>
  <si>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</si>
  <si>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</si>
  <si>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</si>
  <si>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</si>
  <si>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</si>
  <si>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</si>
  <si>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</si>
  <si>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</si>
  <si>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</si>
  <si>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</si>
  <si>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</si>
  <si>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</si>
  <si>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</si>
  <si>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</si>
  <si>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</si>
  <si>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</si>
  <si>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</si>
  <si>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</si>
  <si>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</si>
  <si>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</si>
  <si>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</si>
  <si>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</si>
  <si>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</si>
  <si>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</si>
  <si>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</si>
  <si>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</si>
  <si>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</si>
  <si>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</si>
  <si>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</si>
  <si>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</si>
  <si>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</si>
  <si>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</si>
  <si>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</si>
  <si>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</si>
  <si>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</si>
  <si>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</si>
  <si>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</si>
  <si>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</si>
  <si>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</si>
  <si>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</si>
  <si>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</si>
  <si>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</si>
  <si>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</si>
  <si>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</si>
  <si>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</si>
  <si>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</si>
  <si>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</si>
  <si>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</si>
  <si>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</si>
  <si>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</si>
  <si>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</si>
  <si>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</si>
  <si>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</si>
  <si>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</si>
  <si>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</si>
  <si>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</si>
  <si>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</si>
  <si>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</si>
  <si>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</si>
  <si>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</si>
  <si>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</si>
  <si>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</si>
  <si>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</si>
  <si>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</si>
  <si>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</si>
  <si>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</si>
  <si>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</si>
  <si>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</si>
  <si>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</si>
  <si>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</si>
  <si>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</si>
  <si>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</si>
  <si>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</si>
  <si>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</si>
  <si>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</si>
  <si>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</si>
  <si>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</si>
  <si>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</si>
  <si>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</si>
  <si>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</si>
  <si>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</si>
  <si>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</si>
  <si>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</si>
  <si>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</si>
  <si>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</si>
  <si>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</si>
  <si>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</si>
  <si>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</si>
  <si>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</si>
  <si>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</si>
  <si>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</si>
  <si>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</si>
  <si>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</si>
  <si>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</si>
  <si>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</si>
  <si>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</si>
  <si>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</si>
  <si>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</si>
  <si>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</si>
  <si>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</si>
  <si>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</si>
  <si>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</si>
  <si>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</si>
  <si>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</si>
  <si>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</si>
  <si>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</si>
  <si>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</si>
  <si>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</si>
  <si>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</si>
  <si>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</si>
  <si>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</si>
  <si>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</si>
  <si>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</si>
  <si>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</si>
  <si>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</si>
  <si>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</si>
  <si>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</si>
  <si>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</si>
  <si>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</si>
  <si>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</si>
  <si>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</si>
  <si>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</si>
  <si>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</si>
  <si>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</si>
  <si>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</si>
  <si>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</si>
  <si>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</si>
  <si>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</si>
  <si>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</si>
  <si>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</si>
  <si>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</si>
  <si>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</si>
  <si>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</si>
  <si>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</si>
  <si>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</si>
  <si>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</si>
  <si>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</si>
  <si>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</si>
  <si>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</si>
  <si>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</si>
  <si>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</si>
  <si>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</si>
  <si>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</si>
  <si>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</si>
  <si>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</si>
  <si>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</si>
  <si>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</si>
  <si>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</si>
  <si>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</si>
  <si>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</si>
  <si>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</si>
  <si>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</si>
  <si>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</si>
  <si>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</si>
  <si>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</si>
  <si>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</si>
  <si>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</si>
  <si>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</si>
  <si>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</si>
  <si>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</si>
  <si>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</si>
  <si>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</si>
  <si>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</si>
  <si>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</si>
  <si>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</si>
  <si>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</si>
  <si>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</si>
  <si>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</si>
  <si>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</si>
  <si>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</si>
  <si>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</si>
  <si>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</si>
  <si>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</si>
  <si>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</si>
  <si>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</si>
  <si>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</si>
  <si>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</si>
  <si>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</si>
  <si>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</si>
  <si>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</si>
  <si>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</si>
  <si>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</si>
  <si>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</si>
  <si>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</si>
  <si>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</si>
  <si>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</si>
  <si>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</si>
  <si>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</si>
  <si>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</si>
  <si>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</si>
  <si>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</si>
  <si>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</si>
  <si>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</si>
  <si>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</si>
  <si>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</si>
  <si>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</si>
  <si>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</si>
  <si>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</si>
  <si>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</si>
  <si>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</si>
  <si>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</si>
  <si>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</si>
  <si>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</si>
  <si>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</si>
  <si>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</si>
  <si>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</si>
  <si>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</si>
  <si>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</si>
  <si>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</si>
  <si>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</si>
  <si>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</si>
  <si>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</si>
  <si>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</si>
  <si>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</si>
  <si>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</si>
  <si>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</si>
  <si>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</si>
  <si>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</si>
  <si>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</si>
  <si>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</si>
  <si>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</si>
  <si>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</si>
  <si>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</si>
  <si>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</si>
  <si>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</si>
  <si>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</si>
  <si>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</si>
  <si>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</si>
  <si>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</si>
  <si>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</si>
  <si>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</si>
  <si>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</si>
  <si>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</si>
  <si>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</si>
  <si>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</si>
  <si>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</si>
  <si>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</si>
  <si>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</si>
  <si>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</si>
  <si>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</si>
  <si>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</si>
  <si>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</si>
  <si>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</si>
  <si>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</si>
  <si>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</si>
  <si>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</si>
  <si>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</si>
  <si>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</si>
  <si>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</si>
  <si>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</si>
  <si>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</si>
  <si>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</si>
  <si>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</si>
  <si>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</si>
  <si>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</si>
  <si>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</si>
  <si>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</si>
  <si>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</si>
  <si>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</si>
  <si>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</si>
  <si>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</si>
  <si>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</si>
  <si>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</si>
  <si>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</si>
  <si>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</si>
  <si>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</si>
  <si>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</si>
  <si>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</si>
  <si>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</si>
  <si>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</si>
  <si>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</si>
  <si>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</si>
  <si>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</si>
  <si>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</si>
  <si>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</si>
  <si>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</si>
  <si>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</si>
  <si>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</si>
  <si>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</si>
  <si>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</si>
  <si>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</si>
  <si>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</si>
  <si>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</si>
  <si>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</si>
  <si>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</si>
  <si>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</si>
  <si>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</si>
  <si>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</si>
  <si>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</si>
  <si>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</si>
  <si>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</si>
  <si>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</si>
  <si>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</si>
  <si>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</si>
  <si>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</si>
  <si>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</si>
  <si>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</si>
  <si>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</si>
  <si>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</si>
  <si>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</si>
  <si>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</si>
  <si>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</si>
  <si>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</si>
  <si>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</si>
  <si>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</si>
  <si>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</si>
  <si>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</si>
  <si>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</si>
  <si>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</si>
  <si>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</si>
  <si>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</si>
  <si>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</si>
  <si>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</si>
  <si>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</si>
  <si>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</si>
  <si>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</si>
  <si>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</si>
  <si>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</si>
  <si>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</si>
  <si>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</si>
  <si>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</si>
  <si>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</si>
  <si>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</si>
  <si>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</si>
  <si>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</si>
  <si>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</si>
  <si>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</si>
  <si>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</si>
  <si>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</si>
  <si>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</si>
  <si>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</si>
  <si>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</si>
  <si>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</si>
  <si>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</si>
  <si>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</si>
  <si>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</si>
  <si>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</si>
  <si>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</si>
  <si>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</si>
  <si>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</si>
  <si>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</si>
  <si>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</si>
  <si>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</si>
  <si>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</si>
  <si>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</si>
  <si>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</si>
  <si>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</si>
  <si>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</si>
  <si>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</si>
  <si>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</si>
  <si>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</si>
  <si>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</si>
  <si>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</si>
  <si>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</si>
  <si>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</si>
  <si>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</si>
  <si>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</si>
  <si>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</si>
  <si>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</si>
  <si>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</si>
  <si>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</si>
  <si>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</si>
  <si>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</si>
  <si>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</si>
  <si>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</si>
  <si>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</si>
  <si>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</si>
  <si>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</si>
  <si>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</si>
  <si>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</si>
  <si>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</si>
  <si>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</si>
  <si>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</si>
  <si>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</si>
  <si>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</si>
  <si>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</si>
  <si>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</si>
  <si>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</si>
  <si>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</si>
  <si>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</si>
  <si>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</si>
  <si>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</si>
  <si>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</si>
  <si>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</si>
  <si>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</si>
  <si>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</si>
  <si>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</si>
  <si>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</si>
  <si>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</si>
  <si>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</si>
  <si>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</si>
  <si>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</si>
  <si>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</si>
  <si>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</si>
  <si>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</si>
  <si>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</si>
  <si>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</si>
  <si>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</si>
  <si>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</si>
  <si>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</si>
  <si>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</si>
  <si>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</si>
  <si>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</si>
  <si>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</si>
  <si>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</si>
  <si>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</si>
  <si>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</si>
  <si>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</si>
  <si>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</si>
  <si>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</si>
  <si>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</si>
  <si>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</si>
  <si>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</si>
  <si>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</si>
  <si>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</si>
  <si>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</si>
  <si>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</si>
  <si>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</si>
  <si>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</si>
  <si>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</si>
  <si>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</si>
  <si>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</si>
  <si>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</si>
  <si>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</si>
  <si>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</si>
  <si>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</si>
  <si>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</si>
  <si>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</si>
  <si>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</si>
  <si>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</si>
  <si>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</si>
  <si>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</si>
  <si>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</si>
  <si>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</si>
  <si>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</si>
  <si>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</si>
  <si>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</si>
  <si>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</si>
  <si>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</si>
  <si>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</si>
  <si>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</si>
  <si>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</si>
  <si>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</si>
  <si>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</si>
  <si>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</si>
  <si>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</si>
  <si>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</si>
  <si>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</si>
  <si>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</si>
  <si>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</si>
  <si>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</si>
  <si>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</si>
  <si>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</si>
  <si>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</si>
  <si>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</si>
  <si>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</si>
  <si>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</si>
  <si>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</si>
  <si>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</si>
  <si>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</si>
  <si>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</si>
  <si>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</si>
  <si>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</si>
  <si>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</si>
  <si>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</si>
  <si>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</si>
  <si>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</si>
  <si>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</si>
  <si>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</si>
  <si>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</si>
  <si>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</si>
  <si>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</si>
  <si>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</si>
  <si>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</si>
  <si>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</si>
  <si>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</si>
  <si>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</si>
  <si>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</si>
  <si>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</si>
  <si>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</si>
  <si>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</si>
  <si>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</si>
  <si>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</si>
  <si>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</si>
  <si>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</si>
  <si>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</si>
  <si>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</si>
  <si>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</si>
  <si>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</si>
  <si>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</si>
  <si>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</si>
  <si>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</si>
  <si>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</si>
  <si>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</si>
  <si>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</si>
  <si>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</si>
  <si>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</si>
  <si>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</si>
  <si>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</si>
  <si>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</si>
  <si>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</si>
  <si>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</si>
  <si>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</si>
  <si>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</si>
  <si>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</si>
  <si>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</si>
  <si>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</si>
  <si>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</si>
  <si>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</si>
  <si>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</si>
  <si>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</si>
  <si>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</si>
  <si>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</si>
  <si>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</si>
  <si>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</si>
  <si>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</si>
  <si>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</si>
  <si>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</si>
  <si>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</si>
  <si>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</si>
  <si>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</si>
  <si>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</si>
  <si>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</si>
  <si>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</si>
  <si>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</si>
  <si>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</si>
  <si>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</si>
  <si>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</si>
  <si>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</si>
  <si>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</si>
  <si>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</si>
  <si>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</si>
  <si>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</si>
  <si>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</si>
  <si>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</si>
  <si>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</si>
  <si>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</si>
  <si>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</si>
  <si>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</si>
  <si>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</si>
  <si>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</si>
  <si>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</si>
  <si>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</si>
  <si>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</si>
  <si>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</si>
  <si>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</si>
  <si>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</si>
  <si>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</si>
  <si>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</si>
  <si>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</si>
  <si>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</si>
  <si>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</si>
  <si>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</si>
  <si>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</si>
  <si>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</si>
  <si>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</si>
  <si>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</si>
  <si>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</si>
  <si>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</si>
  <si>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</si>
  <si>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</si>
  <si>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</si>
  <si>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</si>
  <si>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</si>
  <si>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</si>
  <si>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</si>
  <si>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</si>
  <si>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</si>
  <si>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</si>
  <si>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</si>
  <si>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</si>
  <si>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</si>
  <si>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</si>
  <si>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</si>
  <si>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</si>
  <si>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</si>
  <si>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</si>
  <si>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</si>
  <si>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</si>
  <si>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</si>
  <si>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</si>
  <si>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</si>
  <si>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</si>
  <si>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</si>
  <si>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</si>
  <si>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</si>
  <si>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</si>
  <si>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</si>
  <si>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</si>
  <si>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</si>
  <si>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</si>
  <si>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</si>
  <si>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</si>
  <si>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</si>
  <si>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</si>
  <si>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</si>
  <si>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</si>
  <si>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</si>
  <si>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</si>
  <si>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</si>
  <si>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</si>
  <si>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</si>
  <si>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</si>
  <si>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</si>
  <si>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</si>
  <si>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</si>
  <si>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</si>
  <si>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</si>
  <si>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</si>
  <si>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</si>
  <si>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</si>
  <si>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</si>
  <si>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</si>
  <si>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</si>
  <si>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</si>
  <si>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</si>
  <si>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</si>
  <si>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</si>
  <si>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</si>
  <si>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</si>
  <si>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</si>
  <si>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</si>
  <si>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</si>
  <si>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</si>
  <si>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</si>
  <si>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</si>
  <si>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</si>
  <si>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</si>
  <si>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</si>
  <si>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</si>
  <si>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</si>
  <si>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</si>
  <si>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</si>
  <si>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</si>
  <si>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</si>
  <si>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</si>
  <si>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</si>
  <si>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</si>
  <si>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</si>
  <si>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</si>
  <si>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</si>
  <si>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</si>
  <si>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</si>
  <si>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</si>
  <si>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</si>
  <si>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</si>
  <si>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</si>
  <si>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</si>
  <si>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</si>
  <si>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</si>
  <si>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</si>
  <si>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</si>
  <si>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</si>
  <si>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</si>
  <si>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</si>
  <si>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</si>
  <si>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</si>
  <si>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</si>
  <si>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</si>
  <si>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</si>
  <si>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</si>
  <si>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</si>
  <si>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</si>
  <si>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</si>
  <si>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</si>
  <si>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</si>
  <si>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</si>
  <si>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</si>
  <si>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</si>
  <si>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</si>
  <si>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</si>
  <si>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</si>
  <si>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</si>
  <si>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</si>
  <si>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</si>
  <si>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</si>
  <si>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</si>
  <si>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</si>
  <si>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</si>
  <si>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</si>
  <si>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</si>
  <si>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</si>
  <si>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</si>
  <si>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</si>
  <si>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</si>
  <si>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</si>
  <si>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</si>
  <si>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</si>
  <si>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</si>
  <si>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</si>
  <si>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</si>
  <si>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</si>
  <si>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</si>
  <si>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</si>
  <si>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</si>
  <si>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</si>
  <si>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</si>
  <si>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</si>
  <si>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</si>
  <si>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</si>
  <si>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</si>
  <si>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</si>
  <si>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</si>
  <si>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</si>
  <si>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</si>
  <si>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</si>
  <si>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</si>
  <si>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</si>
  <si>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</si>
  <si>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</si>
  <si>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</si>
  <si>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</si>
  <si>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</si>
  <si>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</si>
  <si>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</si>
  <si>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</si>
  <si>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</si>
  <si>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</si>
  <si>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</si>
  <si>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</si>
  <si>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</si>
  <si>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</si>
  <si>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</si>
  <si>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</si>
  <si>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</si>
  <si>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</si>
  <si>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</si>
  <si>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</si>
  <si>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</si>
  <si>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</si>
  <si>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</si>
  <si>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</si>
  <si>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</si>
  <si>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</si>
  <si>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</si>
  <si>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</si>
  <si>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</si>
  <si>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</si>
  <si>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</si>
  <si>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</si>
  <si>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</si>
  <si>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</si>
  <si>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</si>
  <si>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</si>
  <si>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</si>
  <si>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</si>
  <si>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</si>
  <si>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</si>
  <si>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</si>
  <si>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</si>
  <si>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</si>
  <si>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</si>
  <si>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</si>
  <si>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</si>
  <si>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</si>
  <si>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</si>
  <si>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</si>
  <si>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</si>
  <si>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</si>
  <si>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</si>
  <si>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</si>
  <si>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</si>
  <si>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</si>
  <si>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</si>
  <si>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</si>
  <si>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</si>
  <si>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</si>
  <si>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</si>
  <si>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</si>
  <si>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</si>
  <si>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</si>
  <si>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</si>
  <si>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</si>
  <si>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</si>
  <si>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</si>
  <si>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</si>
  <si>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</si>
  <si>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</si>
  <si>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</si>
  <si>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</si>
  <si>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</si>
  <si>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</si>
  <si>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</si>
  <si>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</si>
  <si>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</si>
  <si>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</si>
  <si>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</si>
  <si>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</si>
  <si>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</si>
  <si>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</si>
  <si>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</si>
  <si>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</si>
  <si>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</si>
  <si>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</si>
  <si>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</si>
  <si>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</si>
  <si>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</si>
  <si>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</si>
  <si>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</si>
  <si>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</si>
  <si>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</si>
  <si>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</si>
  <si>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</si>
  <si>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</si>
  <si>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</si>
  <si>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</si>
  <si>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</si>
  <si>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</si>
  <si>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</si>
  <si>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</si>
  <si>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</si>
  <si>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</si>
  <si>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</si>
  <si>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</si>
  <si>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</si>
  <si>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</si>
  <si>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</si>
  <si>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</si>
  <si>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</si>
  <si>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</si>
  <si>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</si>
  <si>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</si>
  <si>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</si>
  <si>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昆仑信托有限责任公司</t>
    <phoneticPr fontId="6" type="noConversion"/>
  </si>
  <si>
    <t>抵押</t>
  </si>
  <si>
    <t>房地产抵押价值</t>
  </si>
  <si>
    <t>其他：</t>
  </si>
  <si>
    <t>企业</t>
    <phoneticPr fontId="6" type="noConversion"/>
  </si>
  <si>
    <t>海南省</t>
    <phoneticPr fontId="6" type="noConversion"/>
  </si>
  <si>
    <t>海南高和房地产开发有限公司</t>
    <phoneticPr fontId="6" type="noConversion"/>
  </si>
  <si>
    <t>出让</t>
  </si>
  <si>
    <t>住宅、商业及地下车库</t>
    <phoneticPr fontId="6" type="noConversion"/>
  </si>
  <si>
    <t>住宅67.8年、商业37.8年及地下车库47.8年</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</si>
  <si>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琼（2016）海口市不动产权第0006670号</t>
    </r>
    <r>
      <rPr>
        <sz val="12"/>
        <color theme="9" tint="-0.249977111117893"/>
        <rFont val="Arial"/>
        <family val="2"/>
      </rPr>
      <t>]</t>
    </r>
    <phoneticPr fontId="6" type="noConversion"/>
  </si>
  <si>
    <t>是</t>
  </si>
  <si>
    <t>《不动产权证书》</t>
  </si>
  <si>
    <t>复印件</t>
  </si>
  <si>
    <t>山东省国际信托股份有限公司</t>
    <phoneticPr fontId="6" type="noConversion"/>
  </si>
  <si>
    <t>土地面积为30136.12平方米的土地使用权</t>
    <phoneticPr fontId="6" type="noConversion"/>
  </si>
  <si>
    <r>
      <t>8</t>
    </r>
    <r>
      <rPr>
        <sz val="10"/>
        <color theme="9" tint="-0.249977111117893"/>
        <rFont val="宋体"/>
        <family val="3"/>
        <charset val="134"/>
      </rPr>
      <t>亿元</t>
    </r>
    <phoneticPr fontId="6" type="noConversion"/>
  </si>
  <si>
    <r>
      <rPr>
        <sz val="10"/>
        <color theme="9" tint="-0.249977111117893"/>
        <rFont val="宋体"/>
        <family val="3"/>
        <charset val="134"/>
      </rPr>
      <t>《不动产登记证明》[琼（2018）海口市不动产证明第0033807、0071061号]</t>
    </r>
    <phoneticPr fontId="87" type="noConversion"/>
  </si>
  <si>
    <t>追加抵押在建工程“融创海口壹号项目D11地块”7号楼24个单元建筑面积3773.04平方米</t>
    <phoneticPr fontId="6" type="noConversion"/>
  </si>
  <si>
    <t>共同担保债券数额</t>
    <phoneticPr fontId="6" type="noConversion"/>
  </si>
  <si>
    <t>居住项目</t>
    <phoneticPr fontId="6" type="noConversion"/>
  </si>
  <si>
    <t>在建</t>
  </si>
  <si>
    <t>正在进行主体工程建设</t>
    <phoneticPr fontId="6" type="noConversion"/>
  </si>
  <si>
    <t>通路</t>
  </si>
  <si>
    <t>通电</t>
  </si>
  <si>
    <t>通讯</t>
  </si>
  <si>
    <t>通上水</t>
  </si>
  <si>
    <t>通下水</t>
  </si>
  <si>
    <t>燃气</t>
  </si>
  <si>
    <t>地上</t>
  </si>
  <si>
    <t>住宅</t>
  </si>
  <si>
    <t>底商</t>
  </si>
  <si>
    <t>独立商业</t>
  </si>
  <si>
    <t>地下</t>
  </si>
  <si>
    <t>车库</t>
  </si>
  <si>
    <t>高层</t>
  </si>
  <si>
    <t>高层</t>
    <phoneticPr fontId="7" type="noConversion"/>
  </si>
  <si>
    <t>独立商业</t>
    <phoneticPr fontId="7" type="noConversion"/>
  </si>
  <si>
    <t>底商</t>
    <phoneticPr fontId="7" type="noConversion"/>
  </si>
  <si>
    <t>地下车库</t>
    <phoneticPr fontId="7" type="noConversion"/>
  </si>
  <si>
    <t>省会市名称</t>
  </si>
  <si>
    <t>建筑型式</t>
  </si>
  <si>
    <t>说明</t>
  </si>
  <si>
    <t>多层</t>
  </si>
  <si>
    <t>小高层</t>
  </si>
  <si>
    <t>海口</t>
  </si>
  <si>
    <t>2622</t>
  </si>
  <si>
    <t>2891</t>
  </si>
  <si>
    <t>3124</t>
  </si>
  <si>
    <t>执行全装修标准,主要材料价格变化引起造价指标动态变化。</t>
  </si>
  <si>
    <r>
      <rPr>
        <sz val="11"/>
        <color theme="1"/>
        <rFont val="宋体"/>
        <family val="3"/>
        <charset val="134"/>
      </rPr>
      <t>请录依据文件名称：海口市人民政府办公厅关于我市城市基础设施配套费征收标准的通知海府办〔2014〕124 号</t>
    </r>
    <phoneticPr fontId="3" type="noConversion"/>
  </si>
  <si>
    <t>在建（套用方法）</t>
  </si>
  <si>
    <t>按租金收入计税</t>
  </si>
  <si>
    <t>钢混</t>
  </si>
  <si>
    <t>非生产用房</t>
  </si>
  <si>
    <t>已注销</t>
  </si>
  <si>
    <t>成本比率</t>
  </si>
  <si>
    <t>成本法</t>
  </si>
  <si>
    <t>情况3</t>
  </si>
  <si>
    <t>规划建筑面积</t>
  </si>
  <si>
    <t>土地面积</t>
  </si>
  <si>
    <t>假设开发法</t>
  </si>
  <si>
    <t>项目局部</t>
  </si>
  <si>
    <t>收益法（独立商业）</t>
  </si>
  <si>
    <t>收益法（底商）</t>
  </si>
  <si>
    <t>收益法（地下车库）</t>
  </si>
  <si>
    <t>地块名称</t>
  </si>
  <si>
    <t>城市</t>
  </si>
  <si>
    <t>用地性质</t>
  </si>
  <si>
    <t>板块</t>
  </si>
  <si>
    <t>土地位置</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</si>
  <si>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</si>
  <si>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</si>
  <si>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</si>
  <si>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</si>
  <si>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</si>
  <si>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</si>
  <si>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</si>
  <si>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</si>
  <si>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</si>
  <si>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</si>
  <si>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</si>
  <si>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</si>
  <si>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</si>
  <si>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海口市龙岐村</t>
  </si>
  <si>
    <t>海口市</t>
  </si>
  <si>
    <t>综合用地(含住宅)</t>
  </si>
  <si>
    <t>住宅、商业用地</t>
  </si>
  <si>
    <t>≥1且≤5</t>
  </si>
  <si>
    <t>2018-11-16</t>
  </si>
  <si>
    <t>13[2018]13号</t>
  </si>
  <si>
    <t>中交第四公路工程局有限公司</t>
  </si>
  <si>
    <t>城镇住宅70年,商业40年</t>
  </si>
  <si>
    <t>海口市滨江西路西侧白沙坊棚户区</t>
  </si>
  <si>
    <t>二类居住兼容商业用地</t>
  </si>
  <si>
    <t>≥1且≤5.72</t>
  </si>
  <si>
    <t>15[2018]15号</t>
  </si>
  <si>
    <t>山西建设发展有限公司</t>
  </si>
  <si>
    <t>≥1且≤5.5</t>
  </si>
  <si>
    <t>14[2018]14号</t>
  </si>
  <si>
    <t>绿地控股集团有限公司</t>
  </si>
  <si>
    <t>海口市龙华区龙桥镇</t>
  </si>
  <si>
    <t>住宅用地</t>
  </si>
  <si>
    <t>其他普通商品住房用地</t>
  </si>
  <si>
    <t>≥1且≤1.5</t>
  </si>
  <si>
    <t>2018-04-04</t>
  </si>
  <si>
    <t>11[2018]11号</t>
  </si>
  <si>
    <t>海南观澜湖实业发展有限公司</t>
  </si>
  <si>
    <t>70年</t>
  </si>
  <si>
    <t>海口市椰海大道与永万路交汇处西北角</t>
  </si>
  <si>
    <t>≥1且≤2.8</t>
  </si>
  <si>
    <t>4[2018]4号</t>
  </si>
  <si>
    <t>海南恩祥新城实业有限公司</t>
  </si>
  <si>
    <t>≥1且≤2.5</t>
  </si>
  <si>
    <t>3[2018]3号</t>
  </si>
  <si>
    <t>海口市秀英区永兴镇</t>
  </si>
  <si>
    <t>≥1且≤1.9</t>
  </si>
  <si>
    <t>10[2018]10号</t>
  </si>
  <si>
    <t>9[2018]9号</t>
  </si>
  <si>
    <t>海南骏豪实业有限公司</t>
  </si>
  <si>
    <t>8[2018]8号</t>
  </si>
  <si>
    <t>海南观澜湖华谊冯小刚文化旅游实业有限公司</t>
  </si>
  <si>
    <t>海口市江东组团白驹大道南侧E4002地块</t>
  </si>
  <si>
    <t>≥1且≤3</t>
  </si>
  <si>
    <t>2017-12-12</t>
  </si>
  <si>
    <t>10[2017]10号</t>
  </si>
  <si>
    <t>海南发展控股置业集团有限公司</t>
  </si>
  <si>
    <t>海口市江东组团白驹大道南侧E4502地块</t>
  </si>
  <si>
    <t>≥1且≤2.6</t>
  </si>
  <si>
    <t>12[2017]12号</t>
  </si>
  <si>
    <t>海口市江东组团白驹大道南侧E4302地块</t>
  </si>
  <si>
    <t>11[2017]11号</t>
  </si>
  <si>
    <t>海口市苍峄路西侧</t>
  </si>
  <si>
    <t>2017-10-12</t>
  </si>
  <si>
    <t>9[2017]9号</t>
  </si>
  <si>
    <t>海南鼎坤实业有限公司</t>
  </si>
  <si>
    <t>2017-10-11</t>
  </si>
  <si>
    <t>8[2017]8号</t>
  </si>
  <si>
    <t>西海岸南片区</t>
  </si>
  <si>
    <t>B6902、B6903、B7001、B7005、B7102</t>
  </si>
  <si>
    <t>b6902、b6903、b7102:≥1,≤2,b7001:≤2,b7005:≤0.8</t>
  </si>
  <si>
    <t>2017-07-21</t>
  </si>
  <si>
    <t>7[2017]7号</t>
  </si>
  <si>
    <t>北辰</t>
  </si>
  <si>
    <t>商业40年,科教50年,住宅70年</t>
  </si>
  <si>
    <t>海口市龙昆南路东侧道客村内</t>
  </si>
  <si>
    <t>城镇住宅用地</t>
  </si>
  <si>
    <t>≥1且≤3.2</t>
  </si>
  <si>
    <t>2017-04-25</t>
  </si>
  <si>
    <t>6[2017]6号</t>
  </si>
  <si>
    <t>海南润龙房地产开发有限公司</t>
  </si>
  <si>
    <t>住宅70年商业40年</t>
  </si>
  <si>
    <t>B5702、B5704、B5705、B5803、B5804</t>
  </si>
  <si>
    <t>批发零售用地(含住宿餐饮和商务金融用地)、城镇住宅用地</t>
  </si>
  <si>
    <t>b5702、b5704、b5803≤3;b5705、b5804≥1且≤2</t>
  </si>
  <si>
    <t>2017-04-20</t>
  </si>
  <si>
    <t>5[2017]5号-1</t>
  </si>
  <si>
    <t>海南华侨城实业有限公司</t>
  </si>
  <si>
    <t>商业40,住宅70</t>
  </si>
  <si>
    <t>海口市滨涯路南侧</t>
  </si>
  <si>
    <t>≥1且≤2.54</t>
  </si>
  <si>
    <t>2017-04-11</t>
  </si>
  <si>
    <t>3[2017]3号</t>
  </si>
  <si>
    <t>海口市金沙湾片区</t>
  </si>
  <si>
    <t>A0102、A0601、A0701、A0801、A0901、A1001</t>
  </si>
  <si>
    <t>A0102:住宿餐饮用地;A0801:科教用地;A0601、A0701、A0901、A1001:其他普通商品住房用地</t>
  </si>
  <si>
    <t>综合容积率:1.87</t>
  </si>
  <si>
    <t>2017-02-28</t>
  </si>
  <si>
    <t>2[2017]2号</t>
  </si>
  <si>
    <t>海南雅航旅游置业有限公司(雅居乐)</t>
  </si>
  <si>
    <t>住宅70年;商业、科教40年</t>
  </si>
  <si>
    <t>海口市白驹大道北侧</t>
  </si>
  <si>
    <t>≥1且≤2.9</t>
  </si>
  <si>
    <t>2017-01-12</t>
  </si>
  <si>
    <t>35[2016]35号</t>
  </si>
  <si>
    <t>海口市灵山镇西片区</t>
  </si>
  <si>
    <t>A-01</t>
  </si>
  <si>
    <t>2016-12-28</t>
  </si>
  <si>
    <t>34[2016]34号-1</t>
  </si>
  <si>
    <t>海口绿地鸿翔置业有限公司</t>
  </si>
  <si>
    <t>A-17</t>
  </si>
  <si>
    <t>34[2016]34号-3</t>
  </si>
  <si>
    <t>A-10</t>
  </si>
  <si>
    <t>34[2016]34号-2</t>
  </si>
  <si>
    <t>海口市灵山镇</t>
  </si>
  <si>
    <t>A-05</t>
  </si>
  <si>
    <t>城镇住宅用地(二类居住兼容商业用地)</t>
  </si>
  <si>
    <t>2016-12-27</t>
  </si>
  <si>
    <t>33[2016]33号-1</t>
  </si>
  <si>
    <t>住宅至2084年11月25日;商业40年</t>
  </si>
  <si>
    <t>A-32</t>
  </si>
  <si>
    <t>33[2016]33号-2</t>
  </si>
  <si>
    <t>海口市博义盐灶八灶片区</t>
  </si>
  <si>
    <t>Z-05</t>
  </si>
  <si>
    <t>2016-12-13</t>
  </si>
  <si>
    <t>32[2016]32号-3</t>
  </si>
  <si>
    <t>绿地集团海口置业有限公司</t>
  </si>
  <si>
    <t>Z-08</t>
  </si>
  <si>
    <t>≥1且≤5.7</t>
  </si>
  <si>
    <t>32[2016]32号-4</t>
  </si>
  <si>
    <t>Y-11</t>
  </si>
  <si>
    <t>≥1且≤5.9</t>
  </si>
  <si>
    <t>32[2016]32号-1</t>
  </si>
  <si>
    <t>Z-01</t>
  </si>
  <si>
    <t>≥1且≤5.19</t>
  </si>
  <si>
    <t>32[2016]32号-2</t>
  </si>
  <si>
    <t>美苑路以西、美祥路以南,下洋瓦灶棚户区改造项目</t>
  </si>
  <si>
    <t>C0503-1、C0505-1</t>
  </si>
  <si>
    <t>地块一:≤5.9;地块二:≤6.9</t>
  </si>
  <si>
    <t>2016-11-07</t>
  </si>
  <si>
    <t>28[2016]28号</t>
  </si>
  <si>
    <t>滨江大道以东,琼山大道以西,新琼棚户区改造项目回迁商品房</t>
  </si>
  <si>
    <t>2002-2-1</t>
  </si>
  <si>
    <t>城镇住宅用地,含商业用地</t>
  </si>
  <si>
    <t>≥1且≤5.1</t>
  </si>
  <si>
    <t>29[2016]29号</t>
  </si>
  <si>
    <t>海南中交海投房地产开发有限公司</t>
  </si>
  <si>
    <t>滨江西路以西,白沙坊棚户区改造项目A0209地块回迁商品房</t>
  </si>
  <si>
    <t>A0209</t>
  </si>
  <si>
    <t>商业居住混合用地</t>
  </si>
  <si>
    <t>≥1且≤4.7</t>
  </si>
  <si>
    <t>2016-11-04</t>
  </si>
  <si>
    <t>26[2016]26号</t>
  </si>
  <si>
    <t>海南成信房地产开发有限公司</t>
  </si>
  <si>
    <t>海口市道客新村,属红城湖片区棚改回迁房项目</t>
  </si>
  <si>
    <t>C15-5、C16-2、C16-4、C16-5</t>
  </si>
  <si>
    <t>二类居住用地</t>
  </si>
  <si>
    <t>地块一:≤4.5;地块二:≤5.9</t>
  </si>
  <si>
    <t>27[2016]27号</t>
  </si>
  <si>
    <t>海口拓一置业有限公司</t>
  </si>
  <si>
    <t>海口市西海岸南片区新区</t>
  </si>
  <si>
    <t>B7203、B7205、B7301</t>
  </si>
  <si>
    <t>1-2</t>
  </si>
  <si>
    <t>2016-10-28</t>
  </si>
  <si>
    <t>30[2016]30号</t>
  </si>
  <si>
    <t>海口大成置业有限公司</t>
  </si>
  <si>
    <t>海口市秀英区金福路与金榆路交叉路口东南角</t>
  </si>
  <si>
    <t>≥1且≤3.5</t>
  </si>
  <si>
    <t>2016-10-09</t>
  </si>
  <si>
    <t>22[2016]22号</t>
  </si>
  <si>
    <t>海口市秀英区城市建设投资有限公司、海南亨通新城投资有限公司</t>
  </si>
  <si>
    <t>海口市滨海大道以西</t>
  </si>
  <si>
    <t>E0201、E0301</t>
  </si>
  <si>
    <t>E0201:批发零售用地;E0301:其他普通商品住房用地</t>
  </si>
  <si>
    <t>e0201≤2.1;e0301≥1且≤2.8</t>
  </si>
  <si>
    <t>24[2016]24号</t>
  </si>
  <si>
    <t>海南联投投资有限公司</t>
  </si>
  <si>
    <t>海口市坡博路南侧</t>
  </si>
  <si>
    <t>商住用地(B/R):城镇住宅用地、商业用地</t>
  </si>
  <si>
    <t>23[2016]23号</t>
  </si>
  <si>
    <t>住宅70年、商业40年</t>
  </si>
  <si>
    <t>城西片区</t>
  </si>
  <si>
    <t>城镇住宅、商业用地</t>
  </si>
  <si>
    <t>2016-08-19</t>
  </si>
  <si>
    <t>20[2016]20号</t>
  </si>
  <si>
    <t>海口碧桂园置业开发有限公司</t>
  </si>
  <si>
    <t>海口市海甸一西路南侧</t>
  </si>
  <si>
    <t>城镇住宅用地、商业用地</t>
  </si>
  <si>
    <t>2016-08-16</t>
  </si>
  <si>
    <t>19[2016]19号</t>
  </si>
  <si>
    <t>海口新城水岸房地产开发有限公司</t>
  </si>
  <si>
    <t>博义盐灶八灶片区</t>
  </si>
  <si>
    <t>Y-10</t>
  </si>
  <si>
    <t>城镇住宅用地(含不大于19%商业)</t>
  </si>
  <si>
    <t>1-4.4</t>
  </si>
  <si>
    <t>2016-07-27</t>
  </si>
  <si>
    <t>17[2016]17号-2</t>
  </si>
  <si>
    <t>城镇住宅70年、商业40年</t>
  </si>
  <si>
    <t>Y-01</t>
  </si>
  <si>
    <t>城镇住宅用地(含不大于17%商业)</t>
  </si>
  <si>
    <t>1-4</t>
  </si>
  <si>
    <t>17[2016]17号-1</t>
  </si>
  <si>
    <t>Y-12</t>
  </si>
  <si>
    <t>城镇住宅用地(含不大于18%商业)</t>
  </si>
  <si>
    <t>1-5.5</t>
  </si>
  <si>
    <t>17[2016]17号-3</t>
  </si>
  <si>
    <t>红城湖片区棚改项目用地范围内</t>
  </si>
  <si>
    <t>D12</t>
  </si>
  <si>
    <t>城镇住宅用地含商业用地(其中住宅用地不大于70%)</t>
  </si>
  <si>
    <t>18[2016]18号-2</t>
  </si>
  <si>
    <t>海南高和房地产开发有限公司、海南海岛建设物流有限公司</t>
  </si>
  <si>
    <t>D11-1</t>
  </si>
  <si>
    <t>1-3.5</t>
  </si>
  <si>
    <t>18[2016]18号-1</t>
  </si>
  <si>
    <t>海口市城西片区</t>
  </si>
  <si>
    <t>2016-07-07</t>
  </si>
  <si>
    <t>16[2016]16号</t>
  </si>
  <si>
    <t>伟业控股海南地产有限公司</t>
  </si>
  <si>
    <t>市海甸岛沿江二西路南侧</t>
  </si>
  <si>
    <t>2016-06-24</t>
  </si>
  <si>
    <t>14[2016]14号</t>
  </si>
  <si>
    <t>海南厚土实业有限公司</t>
  </si>
  <si>
    <t>市国兴大道北侧、美苑路东侧、省委办公区西侧</t>
  </si>
  <si>
    <t>城镇住宅、商服</t>
  </si>
  <si>
    <t>≤3.7</t>
  </si>
  <si>
    <t>2016-06-08</t>
  </si>
  <si>
    <t>11[2016]11号</t>
  </si>
  <si>
    <t>海南盛达房地产开发有限公司</t>
  </si>
  <si>
    <t>10号地块一</t>
  </si>
  <si>
    <t>2016-05-17</t>
  </si>
  <si>
    <t>10[2016]10号-2</t>
  </si>
  <si>
    <t>海南碧桂园开发有限公司</t>
  </si>
  <si>
    <t>海口市秀英港</t>
  </si>
  <si>
    <t>A0102</t>
  </si>
  <si>
    <t>批发零售(含商务金融、住宿餐饮和其他商服)兼容城镇住宅用地</t>
  </si>
  <si>
    <t>≤3</t>
  </si>
  <si>
    <t>2016-04-22</t>
  </si>
  <si>
    <t>8[2016]8号</t>
  </si>
  <si>
    <t>保利(三亚)房地产开发有限公司</t>
  </si>
  <si>
    <t>地块二</t>
  </si>
  <si>
    <t>2016-03-10</t>
  </si>
  <si>
    <t>3[2016]3号-1</t>
  </si>
  <si>
    <t>海南积星房地产开发有限公司</t>
  </si>
  <si>
    <t>正常</t>
  </si>
  <si>
    <t>住宅、商业及地下车库</t>
  </si>
  <si>
    <t>70 40</t>
    <phoneticPr fontId="31" type="noConversion"/>
  </si>
  <si>
    <t>70 40</t>
    <phoneticPr fontId="31" type="noConversion"/>
  </si>
  <si>
    <t>70 40</t>
    <phoneticPr fontId="31" type="noConversion"/>
  </si>
  <si>
    <t>较好</t>
  </si>
  <si>
    <t>一般</t>
  </si>
  <si>
    <t>较差</t>
  </si>
  <si>
    <t>六通</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</si>
  <si>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</si>
  <si>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</si>
  <si>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</si>
  <si>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</si>
  <si>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</si>
  <si>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</si>
  <si>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较规则</t>
  </si>
  <si>
    <t>较规则</t>
    <phoneticPr fontId="31" type="noConversion"/>
  </si>
  <si>
    <t>六通一平</t>
  </si>
  <si>
    <t>六通一平</t>
    <phoneticPr fontId="31" type="noConversion"/>
  </si>
  <si>
    <t>较好</t>
    <phoneticPr fontId="31" type="noConversion"/>
  </si>
  <si>
    <t>时间</t>
  </si>
  <si>
    <t>水平值</t>
  </si>
  <si>
    <t>环比增长率</t>
  </si>
  <si>
    <t>海口监测指标情况一览表（住宅）</t>
    <phoneticPr fontId="143" type="noConversion"/>
  </si>
  <si>
    <t>地面价</t>
    <phoneticPr fontId="143" type="noConversion"/>
  </si>
  <si>
    <t>未包含在土地购买价格中</t>
  </si>
  <si>
    <t>已包含在土地取得成本中</t>
  </si>
  <si>
    <t>住宅</t>
    <phoneticPr fontId="25" type="noConversion"/>
  </si>
  <si>
    <t>60-70（含）</t>
  </si>
  <si>
    <t>高层</t>
    <phoneticPr fontId="25" type="noConversion"/>
  </si>
  <si>
    <t>钢混</t>
    <phoneticPr fontId="25" type="noConversion"/>
  </si>
  <si>
    <t>中档</t>
  </si>
  <si>
    <t>中档</t>
    <phoneticPr fontId="25" type="noConversion"/>
  </si>
  <si>
    <t>精装修</t>
  </si>
  <si>
    <t>精装修</t>
    <phoneticPr fontId="25" type="noConversion"/>
  </si>
  <si>
    <t>专业</t>
  </si>
  <si>
    <t>专业</t>
    <phoneticPr fontId="25" type="noConversion"/>
  </si>
  <si>
    <t>六通</t>
    <phoneticPr fontId="25" type="noConversion"/>
  </si>
  <si>
    <t>平层</t>
  </si>
  <si>
    <t>平层</t>
    <phoneticPr fontId="25" type="noConversion"/>
  </si>
  <si>
    <t>简单装修</t>
    <phoneticPr fontId="25" type="noConversion"/>
  </si>
  <si>
    <t>毛坯</t>
  </si>
  <si>
    <t>毛坯</t>
    <phoneticPr fontId="25" type="noConversion"/>
  </si>
  <si>
    <t>楼面地价</t>
  </si>
  <si>
    <r>
      <rPr>
        <sz val="11"/>
        <color theme="9" tint="-0.249977111117893"/>
        <rFont val="宋体"/>
        <family val="3"/>
        <charset val="134"/>
      </rPr>
      <t>和谐家园</t>
    </r>
    <phoneticPr fontId="3" type="noConversion"/>
  </si>
  <si>
    <t>海口市五指山路</t>
    <phoneticPr fontId="3" type="noConversion"/>
  </si>
  <si>
    <r>
      <rPr>
        <sz val="11"/>
        <color theme="9" tint="-0.249977111117893"/>
        <rFont val="宋体"/>
        <family val="3"/>
        <charset val="134"/>
      </rPr>
      <t xml:space="preserve"> 新月南海嘉园</t>
    </r>
    <phoneticPr fontId="3" type="noConversion"/>
  </si>
  <si>
    <t>龙昆南二横路16号</t>
    <phoneticPr fontId="3" type="noConversion"/>
  </si>
  <si>
    <r>
      <rPr>
        <sz val="11"/>
        <color theme="9" tint="-0.249977111117893"/>
        <rFont val="宋体"/>
        <family val="3"/>
        <charset val="134"/>
      </rPr>
      <t>海航豪庭南苑</t>
    </r>
    <phoneticPr fontId="3" type="noConversion"/>
  </si>
  <si>
    <t>国兴大道2号</t>
    <phoneticPr fontId="3" type="noConversion"/>
  </si>
  <si>
    <t>海南恩祥新城实业有限公司</t>
    <phoneticPr fontId="143" type="noConversion"/>
  </si>
  <si>
    <t>海口市滨涯路南侧</t>
    <phoneticPr fontId="143" type="noConversion"/>
  </si>
  <si>
    <t>https://you.lianjia.com/hnhk/zixun/629250.html</t>
    <phoneticPr fontId="143" type="noConversion"/>
  </si>
  <si>
    <t>海南进大房地产投资有限公司</t>
    <phoneticPr fontId="143" type="noConversion"/>
  </si>
  <si>
    <t>http://house.163.com/17/0411/17/CHORCBDE00078224.html</t>
    <phoneticPr fontId="143" type="noConversion"/>
  </si>
  <si>
    <t>海口市琼山区红城湖片区棚改项目D11-1地块</t>
    <phoneticPr fontId="6" type="noConversion"/>
  </si>
  <si>
    <t xml:space="preserve">      </t>
    <phoneticPr fontId="143" type="noConversion"/>
  </si>
  <si>
    <t>http://www.guandian.cn/article/20180312/198390.html</t>
    <phoneticPr fontId="143" type="noConversion"/>
  </si>
  <si>
    <r>
      <rPr>
        <sz val="11"/>
        <color indexed="10"/>
        <rFont val="宋体"/>
        <family val="3"/>
        <charset val="134"/>
      </rPr>
      <t>其他省市请录依据文件名称：http://www.chinanews.com/sh/2014/01-20/5755595.shtml</t>
    </r>
    <phoneticPr fontId="3" type="noConversion"/>
  </si>
  <si>
    <t>栋号</t>
    <phoneticPr fontId="143" type="noConversion"/>
  </si>
  <si>
    <t>1#、5#、6#、7#、9#</t>
    <phoneticPr fontId="143" type="noConversion"/>
  </si>
  <si>
    <t>2#、8#、10#、11#</t>
    <phoneticPr fontId="143" type="noConversion"/>
  </si>
  <si>
    <t>3#、4#</t>
    <phoneticPr fontId="143" type="noConversion"/>
  </si>
  <si>
    <t>地下室</t>
    <phoneticPr fontId="143" type="noConversion"/>
  </si>
  <si>
    <t>地下室出地面楼梯</t>
    <phoneticPr fontId="143" type="noConversion"/>
  </si>
  <si>
    <t>住宅</t>
    <phoneticPr fontId="143" type="noConversion"/>
  </si>
  <si>
    <t>商业</t>
    <phoneticPr fontId="143" type="noConversion"/>
  </si>
  <si>
    <t>不计容</t>
    <phoneticPr fontId="143" type="noConversion"/>
  </si>
  <si>
    <t>架空层</t>
    <phoneticPr fontId="143" type="noConversion"/>
  </si>
  <si>
    <t>屋顶</t>
    <phoneticPr fontId="143" type="noConversion"/>
  </si>
  <si>
    <t>物业管理</t>
    <phoneticPr fontId="143" type="noConversion"/>
  </si>
  <si>
    <t>计容</t>
    <phoneticPr fontId="143" type="noConversion"/>
  </si>
  <si>
    <t>售价</t>
    <phoneticPr fontId="3" type="noConversion"/>
  </si>
  <si>
    <t>租金</t>
    <phoneticPr fontId="3" type="noConversion"/>
  </si>
  <si>
    <t>1#</t>
    <phoneticPr fontId="143" type="noConversion"/>
  </si>
  <si>
    <t>2#</t>
  </si>
  <si>
    <t>3#</t>
  </si>
  <si>
    <t>4#</t>
  </si>
  <si>
    <t>5#</t>
  </si>
  <si>
    <t>6#</t>
  </si>
  <si>
    <t>7#</t>
  </si>
  <si>
    <t>8#</t>
  </si>
  <si>
    <t>9#</t>
  </si>
  <si>
    <t>10#</t>
  </si>
  <si>
    <t>11#</t>
  </si>
  <si>
    <t>商业</t>
    <phoneticPr fontId="143" type="noConversion"/>
  </si>
  <si>
    <t>其他</t>
    <phoneticPr fontId="143" type="noConversion"/>
  </si>
  <si>
    <t>设备转换层</t>
    <phoneticPr fontId="143" type="noConversion"/>
  </si>
  <si>
    <t>地上</t>
    <phoneticPr fontId="143" type="noConversion"/>
  </si>
  <si>
    <t>合计</t>
    <phoneticPr fontId="143" type="noConversion"/>
  </si>
  <si>
    <t>地上</t>
    <phoneticPr fontId="143" type="noConversion"/>
  </si>
  <si>
    <t>面积总表合计</t>
    <phoneticPr fontId="143" type="noConversion"/>
  </si>
  <si>
    <t>——</t>
    <phoneticPr fontId="143" type="noConversion"/>
  </si>
  <si>
    <t>已建</t>
    <phoneticPr fontId="143" type="noConversion"/>
  </si>
  <si>
    <t>地下</t>
    <phoneticPr fontId="143" type="noConversion"/>
  </si>
  <si>
    <t>总楼层</t>
    <phoneticPr fontId="143" type="noConversion"/>
  </si>
  <si>
    <t>小计</t>
    <phoneticPr fontId="143" type="noConversion"/>
  </si>
  <si>
    <t>合计</t>
    <phoneticPr fontId="143" type="noConversion"/>
  </si>
  <si>
    <t>地下室</t>
    <phoneticPr fontId="143" type="noConversion"/>
  </si>
  <si>
    <t>合计</t>
    <phoneticPr fontId="143" type="noConversion"/>
  </si>
  <si>
    <t>小计</t>
    <phoneticPr fontId="143" type="noConversion"/>
  </si>
  <si>
    <t>地下车位</t>
    <phoneticPr fontId="143" type="noConversion"/>
  </si>
  <si>
    <t>建安</t>
    <phoneticPr fontId="143" type="noConversion"/>
  </si>
  <si>
    <t>毛坯</t>
    <phoneticPr fontId="143" type="noConversion"/>
  </si>
  <si>
    <t>装修</t>
    <phoneticPr fontId="143" type="noConversion"/>
  </si>
  <si>
    <t>无夹层</t>
    <phoneticPr fontId="143" type="noConversion"/>
  </si>
  <si>
    <t>无夹层</t>
    <phoneticPr fontId="143" type="noConversion"/>
  </si>
  <si>
    <t>无地下</t>
    <phoneticPr fontId="143" type="noConversion"/>
  </si>
  <si>
    <t xml:space="preserve"> </t>
    <phoneticPr fontId="143" type="noConversion"/>
  </si>
  <si>
    <t>小计</t>
    <phoneticPr fontId="143" type="noConversion"/>
  </si>
  <si>
    <t>地面以上</t>
    <phoneticPr fontId="143" type="noConversion"/>
  </si>
  <si>
    <t>地下室</t>
    <phoneticPr fontId="143" type="noConversion"/>
  </si>
  <si>
    <t>合同约定建筑面积</t>
    <phoneticPr fontId="143" type="noConversion"/>
  </si>
  <si>
    <t>本规划地上计容建筑面积</t>
    <phoneticPr fontId="143" type="noConversion"/>
  </si>
  <si>
    <t>地下</t>
    <phoneticPr fontId="143" type="noConversion"/>
  </si>
  <si>
    <t>出让金</t>
    <phoneticPr fontId="8" type="noConversion"/>
  </si>
  <si>
    <t>地下</t>
    <phoneticPr fontId="143" type="noConversion"/>
  </si>
  <si>
    <t>住宅楼</t>
    <phoneticPr fontId="143" type="noConversion"/>
  </si>
  <si>
    <t>住宅+底商</t>
    <phoneticPr fontId="143" type="noConversion"/>
  </si>
  <si>
    <t>独立商业</t>
    <phoneticPr fontId="143" type="noConversion"/>
  </si>
  <si>
    <t>住宅</t>
    <phoneticPr fontId="143" type="noConversion"/>
  </si>
  <si>
    <t>无地下</t>
    <phoneticPr fontId="143" type="noConversion"/>
  </si>
  <si>
    <t>无夹层</t>
    <phoneticPr fontId="143"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</si>
  <si>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建字第460100201700130号</t>
    </r>
    <r>
      <rPr>
        <sz val="12"/>
        <color theme="9" tint="-0.249977111117893"/>
        <rFont val="Arial"/>
        <family val="2"/>
      </rPr>
      <t>]</t>
    </r>
    <r>
      <rPr>
        <sz val="12"/>
        <color theme="9" tint="-0.249977111117893"/>
        <rFont val="宋体"/>
        <family val="3"/>
        <charset val="134"/>
      </rPr>
      <t>、《国有建设用地使用权出让合同》</t>
    </r>
    <r>
      <rPr>
        <sz val="12"/>
        <color theme="9" tint="-0.249977111117893"/>
        <rFont val="Arial"/>
        <family val="2"/>
      </rPr>
      <t>[</t>
    </r>
    <r>
      <rPr>
        <sz val="12"/>
        <color theme="9" tint="-0.249977111117893"/>
        <rFont val="宋体"/>
        <family val="3"/>
        <charset val="134"/>
      </rPr>
      <t>合同编号：海口市国让（合）字（2016）89号</t>
    </r>
    <r>
      <rPr>
        <sz val="12"/>
        <color theme="9" tint="-0.249977111117893"/>
        <rFont val="Arial"/>
        <family val="2"/>
      </rPr>
      <t>]</t>
    </r>
    <r>
      <rPr>
        <sz val="12"/>
        <color theme="9" tint="-0.249977111117893"/>
        <rFont val="宋体"/>
        <family val="3"/>
        <charset val="134"/>
      </rPr>
      <t>、《海口市房屋建筑面积测绘报告（预售报告）》[HZ20180702-01等共11本]</t>
    </r>
    <phoneticPr fontId="6" type="noConversion"/>
  </si>
  <si>
    <t>楼层</t>
    <phoneticPr fontId="3" type="noConversion"/>
  </si>
  <si>
    <t>系数</t>
    <phoneticPr fontId="3" type="noConversion"/>
  </si>
  <si>
    <t>室外活动场地</t>
    <phoneticPr fontId="143" type="noConversion"/>
  </si>
  <si>
    <t>规证总建面</t>
    <phoneticPr fontId="143" type="noConversion"/>
  </si>
  <si>
    <t>规证计容</t>
    <phoneticPr fontId="143" type="noConversion"/>
  </si>
  <si>
    <t>消防控制室（计容）</t>
    <phoneticPr fontId="143" type="noConversion"/>
  </si>
  <si>
    <t>室内活动室（不计容）</t>
    <phoneticPr fontId="143" type="noConversion"/>
  </si>
  <si>
    <t>地下非机动车车库及设备夹层</t>
    <phoneticPr fontId="143" type="noConversion"/>
  </si>
  <si>
    <t>人防车库</t>
    <phoneticPr fontId="143" type="noConversion"/>
  </si>
  <si>
    <t>非人防地库</t>
    <phoneticPr fontId="143" type="noConversion"/>
  </si>
  <si>
    <r>
      <t>7</t>
    </r>
    <r>
      <rPr>
        <sz val="11"/>
        <color indexed="8"/>
        <rFont val="宋体"/>
        <family val="3"/>
        <charset val="134"/>
      </rPr>
      <t>号楼</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</si>
</sst>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u/>
      <sz val="11"/>
      <color theme="11"/>
      <name val="宋体"/>
      <family val="3"/>
      <charset val="134"/>
      <scheme val="minor"/>
    </font>
    <font>
      <sz val="10"/>
      <name val="Hiragino Sans CNS W6"/>
      <family val="2"/>
    </font>
    <font>
      <b/>
      <sz val="10"/>
      <color indexed="81"/>
      <name val="宋体"/>
      <family val="3"/>
      <charset val="134"/>
    </font>
    <font>
      <sz val="10"/>
      <name val="微软雅黑"/>
      <family val="2"/>
      <charset val="134"/>
    </font>
    <font>
      <sz val="10"/>
      <color theme="1"/>
      <name val="微软雅黑"/>
      <family val="2"/>
      <charset val="134"/>
    </font>
    <font>
      <b/>
      <sz val="10"/>
      <color theme="1"/>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7"/>
        <bgColor indexed="64"/>
      </patternFill>
    </fill>
    <fill>
      <patternFill patternType="solid">
        <fgColor theme="9" tint="0.79998168889431442"/>
        <bgColor indexed="64"/>
      </patternFill>
    </fill>
    <fill>
      <patternFill patternType="solid">
        <fgColor rgb="FFFFC000"/>
        <bgColor indexed="64"/>
      </patternFill>
    </fill>
  </fills>
  <borders count="16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s>
  <cellStyleXfs count="5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56" fillId="0" borderId="0"/>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5" fillId="0" borderId="0" applyNumberFormat="0" applyFill="0" applyBorder="0" applyAlignment="0" applyProtection="0">
      <alignment vertical="center"/>
    </xf>
  </cellStyleXfs>
  <cellXfs count="33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5" borderId="13" xfId="0"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241" fillId="0" borderId="48" xfId="0" applyFont="1" applyFill="1" applyBorder="1" applyAlignment="1" applyProtection="1">
      <alignment horizontal="left" vertical="center" wrapText="1"/>
      <protection locked="0"/>
    </xf>
    <xf numFmtId="0" fontId="241" fillId="0" borderId="90" xfId="0" applyFont="1" applyFill="1" applyBorder="1" applyAlignment="1" applyProtection="1">
      <alignment horizontal="left" vertical="center" wrapText="1"/>
      <protection locked="0"/>
    </xf>
    <xf numFmtId="0" fontId="190" fillId="2" borderId="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56" fillId="0" borderId="0" xfId="21"/>
    <xf numFmtId="0" fontId="56" fillId="17" borderId="0" xfId="21" applyFill="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18" borderId="0" xfId="21" applyFill="1"/>
    <xf numFmtId="0" fontId="56" fillId="0" borderId="0" xfId="21" applyAlignment="1">
      <alignment horizontal="left"/>
    </xf>
    <xf numFmtId="0" fontId="19" fillId="0" borderId="0" xfId="21" applyFont="1" applyAlignment="1">
      <alignment horizontal="left"/>
    </xf>
    <xf numFmtId="0" fontId="56" fillId="17" borderId="0" xfId="21" applyFill="1" applyAlignment="1">
      <alignment horizontal="left"/>
    </xf>
    <xf numFmtId="0" fontId="56" fillId="18" borderId="0" xfId="21" applyFill="1" applyAlignment="1">
      <alignment horizontal="left"/>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17" borderId="0" xfId="21" applyFont="1" applyFill="1" applyAlignment="1">
      <alignment horizontal="left"/>
    </xf>
    <xf numFmtId="0" fontId="19" fillId="17" borderId="0" xfId="21" applyFont="1" applyFill="1" applyAlignment="1">
      <alignment horizontal="left"/>
    </xf>
    <xf numFmtId="1" fontId="100" fillId="17" borderId="0" xfId="0" applyNumberFormat="1" applyFont="1" applyFill="1">
      <alignment vertical="center"/>
    </xf>
    <xf numFmtId="0" fontId="0" fillId="0" borderId="0" xfId="0" applyFill="1">
      <alignment vertical="center"/>
    </xf>
    <xf numFmtId="0" fontId="0" fillId="0" borderId="0" xfId="0" applyAlignment="1">
      <alignment horizontal="left" vertical="center"/>
    </xf>
    <xf numFmtId="0" fontId="100" fillId="5" borderId="0" xfId="0" applyFont="1" applyFill="1" applyAlignment="1">
      <alignment horizontal="left" vertical="center"/>
    </xf>
    <xf numFmtId="0" fontId="100" fillId="5" borderId="0" xfId="0" applyFont="1" applyFill="1">
      <alignment vertical="center"/>
    </xf>
    <xf numFmtId="0" fontId="0" fillId="0" borderId="0" xfId="0" applyAlignment="1">
      <alignment horizontal="left" vertical="center" wrapText="1"/>
    </xf>
    <xf numFmtId="0" fontId="100" fillId="5" borderId="0" xfId="0" applyFont="1" applyFill="1" applyAlignment="1">
      <alignment horizontal="left" vertical="center" wrapText="1"/>
    </xf>
    <xf numFmtId="0" fontId="100" fillId="8" borderId="0" xfId="0" applyFont="1" applyFill="1" applyAlignment="1">
      <alignment horizontal="left" vertical="center" wrapText="1"/>
    </xf>
    <xf numFmtId="0" fontId="0" fillId="8" borderId="0" xfId="0" applyFill="1" applyAlignment="1">
      <alignment horizontal="left" vertical="center" wrapText="1"/>
    </xf>
    <xf numFmtId="0" fontId="100" fillId="0" borderId="0" xfId="0" applyFont="1">
      <alignment vertical="center"/>
    </xf>
    <xf numFmtId="0" fontId="131" fillId="0" borderId="23" xfId="0" applyFont="1" applyBorder="1" applyAlignment="1" applyProtection="1">
      <alignment horizontal="center" vertical="center"/>
      <protection locked="0"/>
    </xf>
    <xf numFmtId="0" fontId="80"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0" fontId="101" fillId="0" borderId="0" xfId="0" applyFont="1" applyAlignment="1">
      <alignment horizontal="left" vertical="center" wrapText="1"/>
    </xf>
    <xf numFmtId="177" fontId="148" fillId="3" borderId="3" xfId="0" applyNumberFormat="1" applyFont="1" applyFill="1" applyBorder="1" applyAlignment="1" applyProtection="1">
      <alignment vertical="center"/>
      <protection locked="0"/>
    </xf>
    <xf numFmtId="0" fontId="47" fillId="20" borderId="23" xfId="0" applyFont="1" applyFill="1" applyBorder="1" applyAlignment="1" applyProtection="1">
      <alignment vertical="center"/>
      <protection locked="0"/>
    </xf>
    <xf numFmtId="0" fontId="50" fillId="20" borderId="23" xfId="0" applyFont="1" applyFill="1" applyBorder="1" applyAlignment="1" applyProtection="1">
      <alignment vertical="center"/>
      <protection locked="0"/>
    </xf>
    <xf numFmtId="0" fontId="99" fillId="0" borderId="0" xfId="0" applyFont="1" applyAlignment="1">
      <alignment horizontal="left" vertical="center" wrapText="1"/>
    </xf>
    <xf numFmtId="0" fontId="258" fillId="0" borderId="0" xfId="0"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58" fillId="0" borderId="0" xfId="0" applyFont="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0" xfId="0" applyFont="1" applyAlignment="1">
      <alignment vertical="center" wrapText="1"/>
    </xf>
    <xf numFmtId="0" fontId="259" fillId="0" borderId="0" xfId="0" applyFont="1" applyAlignment="1">
      <alignment horizontal="left" vertical="center"/>
    </xf>
    <xf numFmtId="0" fontId="259" fillId="0" borderId="0" xfId="0" applyFont="1" applyFill="1" applyAlignment="1">
      <alignment horizontal="left" vertical="center"/>
    </xf>
    <xf numFmtId="0" fontId="260" fillId="0" borderId="0" xfId="0" applyFont="1" applyFill="1" applyAlignment="1">
      <alignment horizontal="left" vertical="center"/>
    </xf>
    <xf numFmtId="0" fontId="259" fillId="0" borderId="0" xfId="0" applyFont="1">
      <alignment vertical="center"/>
    </xf>
    <xf numFmtId="10" fontId="259" fillId="0" borderId="0" xfId="0" applyNumberFormat="1" applyFont="1">
      <alignment vertical="center"/>
    </xf>
    <xf numFmtId="0" fontId="260" fillId="0" borderId="0" xfId="0" applyFont="1" applyAlignment="1">
      <alignment vertical="center" wrapText="1"/>
    </xf>
    <xf numFmtId="0" fontId="260" fillId="0" borderId="0" xfId="0" applyFont="1" applyAlignment="1">
      <alignment horizontal="left" vertical="center"/>
    </xf>
    <xf numFmtId="0" fontId="260" fillId="0" borderId="16" xfId="0" applyFont="1" applyBorder="1" applyAlignment="1">
      <alignment horizontal="center" vertical="center"/>
    </xf>
    <xf numFmtId="0" fontId="260" fillId="0" borderId="39" xfId="0" applyFont="1" applyBorder="1" applyAlignment="1">
      <alignment horizontal="center" vertical="center"/>
    </xf>
    <xf numFmtId="0" fontId="260" fillId="0" borderId="28" xfId="0" applyFont="1" applyBorder="1" applyAlignment="1">
      <alignment horizontal="center" vertical="center"/>
    </xf>
    <xf numFmtId="0" fontId="260" fillId="0" borderId="20" xfId="0" applyFont="1" applyBorder="1" applyAlignment="1">
      <alignment horizontal="center" vertical="center"/>
    </xf>
    <xf numFmtId="0" fontId="260" fillId="0" borderId="30" xfId="0" applyFont="1" applyBorder="1" applyAlignment="1">
      <alignment horizontal="center" vertical="center"/>
    </xf>
    <xf numFmtId="0" fontId="260" fillId="0" borderId="9" xfId="0" applyFont="1" applyBorder="1" applyAlignment="1">
      <alignment horizontal="left" vertical="center"/>
    </xf>
    <xf numFmtId="0" fontId="260" fillId="19" borderId="9" xfId="0" applyFont="1" applyFill="1" applyBorder="1" applyAlignment="1">
      <alignment horizontal="left" vertical="center"/>
    </xf>
    <xf numFmtId="0" fontId="260" fillId="0" borderId="62" xfId="0" applyFont="1" applyBorder="1" applyAlignment="1">
      <alignment horizontal="center" vertical="center"/>
    </xf>
    <xf numFmtId="0" fontId="260" fillId="0" borderId="51" xfId="0" applyFont="1" applyBorder="1" applyAlignment="1">
      <alignment horizontal="left" vertical="center"/>
    </xf>
    <xf numFmtId="0" fontId="260" fillId="0" borderId="21" xfId="0" applyFont="1" applyBorder="1" applyAlignment="1">
      <alignment horizontal="left" vertical="center"/>
    </xf>
    <xf numFmtId="0" fontId="260" fillId="0" borderId="0" xfId="0" applyFont="1">
      <alignment vertical="center"/>
    </xf>
    <xf numFmtId="10" fontId="260" fillId="0" borderId="0" xfId="0" applyNumberFormat="1" applyFont="1">
      <alignment vertical="center"/>
    </xf>
    <xf numFmtId="0" fontId="260" fillId="0" borderId="69" xfId="0" applyFont="1" applyBorder="1" applyAlignment="1">
      <alignment horizontal="center" vertical="center"/>
    </xf>
    <xf numFmtId="0" fontId="260" fillId="0" borderId="7" xfId="0" applyFont="1" applyBorder="1" applyAlignment="1">
      <alignment horizontal="center" vertical="center"/>
    </xf>
    <xf numFmtId="0" fontId="260" fillId="0" borderId="1" xfId="0" applyFont="1" applyBorder="1" applyAlignment="1">
      <alignment horizontal="left" vertical="center"/>
    </xf>
    <xf numFmtId="0" fontId="260" fillId="19" borderId="1" xfId="0" applyFont="1" applyFill="1" applyBorder="1" applyAlignment="1">
      <alignment horizontal="left" vertical="center"/>
    </xf>
    <xf numFmtId="0" fontId="260" fillId="0" borderId="1" xfId="0" applyFont="1" applyBorder="1" applyAlignment="1">
      <alignment vertical="center"/>
    </xf>
    <xf numFmtId="0" fontId="260" fillId="19" borderId="1" xfId="0" applyFont="1" applyFill="1" applyBorder="1" applyAlignment="1">
      <alignment vertical="center"/>
    </xf>
    <xf numFmtId="0" fontId="260" fillId="0" borderId="1" xfId="0" applyFont="1" applyBorder="1" applyAlignment="1">
      <alignment horizontal="left" vertical="center"/>
    </xf>
    <xf numFmtId="0" fontId="260" fillId="19" borderId="1" xfId="0" applyFont="1" applyFill="1" applyBorder="1" applyAlignment="1">
      <alignment horizontal="left" vertical="center"/>
    </xf>
    <xf numFmtId="0" fontId="260" fillId="0" borderId="8" xfId="0" applyFont="1" applyBorder="1" applyAlignment="1">
      <alignment horizontal="center" vertical="center"/>
    </xf>
    <xf numFmtId="0" fontId="260" fillId="0" borderId="23" xfId="0" applyFont="1" applyBorder="1" applyAlignment="1">
      <alignment horizontal="left" vertical="center"/>
    </xf>
    <xf numFmtId="0" fontId="260" fillId="0" borderId="54" xfId="0" applyFont="1" applyBorder="1" applyAlignment="1">
      <alignment horizontal="left" vertical="center"/>
    </xf>
    <xf numFmtId="0" fontId="260" fillId="0" borderId="24" xfId="0" applyFont="1" applyBorder="1" applyAlignment="1">
      <alignment horizontal="left" vertical="center"/>
    </xf>
    <xf numFmtId="0" fontId="260" fillId="0" borderId="0" xfId="0" applyFont="1" applyFill="1" applyBorder="1" applyAlignment="1">
      <alignment horizontal="left" vertical="center"/>
    </xf>
    <xf numFmtId="0" fontId="259" fillId="0" borderId="0" xfId="0" applyFont="1" applyFill="1" applyAlignment="1">
      <alignment vertical="center" wrapText="1"/>
    </xf>
    <xf numFmtId="0" fontId="259" fillId="0" borderId="23" xfId="0" applyFont="1" applyFill="1" applyBorder="1" applyAlignment="1">
      <alignment horizontal="left" vertical="center"/>
    </xf>
    <xf numFmtId="0" fontId="259" fillId="0" borderId="3" xfId="0" applyFont="1" applyFill="1" applyBorder="1" applyAlignment="1">
      <alignment horizontal="left" vertical="center"/>
    </xf>
    <xf numFmtId="0" fontId="259" fillId="0" borderId="1" xfId="0" applyFont="1" applyFill="1" applyBorder="1" applyAlignment="1">
      <alignment horizontal="left" vertical="center"/>
    </xf>
    <xf numFmtId="0" fontId="259" fillId="19" borderId="1" xfId="0" applyFont="1" applyFill="1" applyBorder="1" applyAlignment="1">
      <alignment horizontal="left" vertical="center"/>
    </xf>
    <xf numFmtId="0" fontId="260" fillId="0" borderId="1" xfId="0" applyFont="1" applyFill="1" applyBorder="1" applyAlignment="1">
      <alignment horizontal="left" vertical="center"/>
    </xf>
    <xf numFmtId="0" fontId="259" fillId="0" borderId="24" xfId="0" applyFont="1" applyFill="1" applyBorder="1" applyAlignment="1">
      <alignment horizontal="left" vertical="center"/>
    </xf>
    <xf numFmtId="0" fontId="259" fillId="0" borderId="54" xfId="0" applyFont="1" applyFill="1" applyBorder="1" applyAlignment="1">
      <alignment horizontal="left" vertical="center"/>
    </xf>
    <xf numFmtId="0" fontId="259" fillId="0" borderId="0" xfId="0" applyFont="1" applyFill="1">
      <alignment vertical="center"/>
    </xf>
    <xf numFmtId="10" fontId="259" fillId="0" borderId="0" xfId="0" applyNumberFormat="1" applyFont="1" applyFill="1">
      <alignment vertical="center"/>
    </xf>
    <xf numFmtId="0" fontId="260" fillId="0" borderId="25" xfId="0" applyFont="1" applyBorder="1" applyAlignment="1">
      <alignment horizontal="left" vertical="center"/>
    </xf>
    <xf numFmtId="0" fontId="260" fillId="0" borderId="66" xfId="0" applyFont="1" applyBorder="1" applyAlignment="1">
      <alignment horizontal="left" vertical="center"/>
    </xf>
    <xf numFmtId="0" fontId="260" fillId="0" borderId="32" xfId="0" applyFont="1" applyBorder="1" applyAlignment="1">
      <alignment horizontal="left" vertical="center"/>
    </xf>
    <xf numFmtId="0" fontId="260" fillId="19" borderId="32" xfId="0" applyFont="1" applyFill="1" applyBorder="1" applyAlignment="1">
      <alignment horizontal="left" vertical="center"/>
    </xf>
    <xf numFmtId="0" fontId="260" fillId="0" borderId="49" xfId="0" applyFont="1" applyBorder="1" applyAlignment="1">
      <alignment horizontal="left" vertical="center"/>
    </xf>
    <xf numFmtId="0" fontId="260" fillId="0" borderId="52" xfId="0" applyFont="1" applyBorder="1" applyAlignment="1">
      <alignment horizontal="left" vertical="center"/>
    </xf>
    <xf numFmtId="0" fontId="259" fillId="19" borderId="0" xfId="0" applyFont="1" applyFill="1" applyAlignment="1">
      <alignment horizontal="left" vertical="center"/>
    </xf>
    <xf numFmtId="0" fontId="260" fillId="19" borderId="0" xfId="0" applyFont="1" applyFill="1" applyAlignment="1">
      <alignment horizontal="left" vertical="center"/>
    </xf>
    <xf numFmtId="0" fontId="259" fillId="0" borderId="1" xfId="0" applyFont="1" applyBorder="1" applyAlignment="1">
      <alignment horizontal="left" vertical="center" wrapText="1"/>
    </xf>
    <xf numFmtId="0" fontId="259" fillId="0" borderId="1" xfId="0" applyFont="1" applyBorder="1" applyAlignment="1">
      <alignment vertical="center" wrapText="1"/>
    </xf>
    <xf numFmtId="0" fontId="259" fillId="0" borderId="1" xfId="0" applyFont="1" applyBorder="1" applyAlignment="1">
      <alignment horizontal="left" vertical="center"/>
    </xf>
    <xf numFmtId="0" fontId="80" fillId="0" borderId="159" xfId="0" applyFont="1" applyFill="1" applyBorder="1" applyAlignment="1" applyProtection="1">
      <alignment vertical="top" wrapText="1"/>
      <protection locked="0"/>
    </xf>
    <xf numFmtId="0" fontId="80" fillId="0" borderId="160" xfId="0" applyFont="1" applyFill="1" applyBorder="1" applyAlignment="1" applyProtection="1">
      <alignment vertical="top" wrapText="1"/>
      <protection locked="0"/>
    </xf>
  </cellXfs>
  <cellStyles count="53">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hidden="1"/>
    <cellStyle name="超链接" xfId="19" builtinId="8" hidden="1"/>
    <cellStyle name="普通 2" xfId="21"/>
    <cellStyle name="已访问的超链接" xfId="18" builtinId="9" hidden="1"/>
    <cellStyle name="已访问的超链接" xfId="20" builtinId="9" hidden="1"/>
    <cellStyle name="已访问的超链接" xfId="22" builtinId="9" hidden="1"/>
    <cellStyle name="已访问的超链接" xfId="23" builtinId="9" hidden="1"/>
    <cellStyle name="已访问的超链接" xfId="24" builtinId="9" hidden="1"/>
    <cellStyle name="已访问的超链接" xfId="25" builtinId="9" hidden="1"/>
    <cellStyle name="已访问的超链接" xfId="26" builtinId="9" hidden="1"/>
    <cellStyle name="已访问的超链接" xfId="27" builtinId="9" hidden="1"/>
    <cellStyle name="已访问的超链接" xfId="28" builtinId="9" hidden="1"/>
    <cellStyle name="已访问的超链接" xfId="29" builtinId="9" hidden="1"/>
    <cellStyle name="已访问的超链接" xfId="30" builtinId="9" hidden="1"/>
    <cellStyle name="已访问的超链接" xfId="31" builtinId="9" hidden="1"/>
    <cellStyle name="已访问的超链接" xfId="32" builtinId="9" hidden="1"/>
    <cellStyle name="已访问的超链接" xfId="33" builtinId="9" hidden="1"/>
    <cellStyle name="已访问的超链接" xfId="34" builtinId="9" hidden="1"/>
    <cellStyle name="已访问的超链接" xfId="35" builtinId="9" hidden="1"/>
    <cellStyle name="已访问的超链接" xfId="36" builtinId="9" hidden="1"/>
    <cellStyle name="已访问的超链接" xfId="37" builtinId="9" hidden="1"/>
    <cellStyle name="已访问的超链接" xfId="38" builtinId="9" hidden="1"/>
    <cellStyle name="已访问的超链接" xfId="39" builtinId="9" hidden="1"/>
    <cellStyle name="已访问的超链接" xfId="40" builtinId="9" hidden="1"/>
    <cellStyle name="已访问的超链接" xfId="41" builtinId="9" hidden="1"/>
    <cellStyle name="已访问的超链接" xfId="42" builtinId="9" hidden="1"/>
    <cellStyle name="已访问的超链接" xfId="43" builtinId="9" hidden="1"/>
    <cellStyle name="已访问的超链接" xfId="44" builtinId="9" hidden="1"/>
    <cellStyle name="已访问的超链接" xfId="45" builtinId="9" hidden="1"/>
    <cellStyle name="已访问的超链接" xfId="46" builtinId="9" hidden="1"/>
    <cellStyle name="已访问的超链接" xfId="47" builtinId="9" hidden="1"/>
    <cellStyle name="已访问的超链接" xfId="48" builtinId="9" hidden="1"/>
    <cellStyle name="已访问的超链接" xfId="49" builtinId="9" hidden="1"/>
    <cellStyle name="已访问的超链接" xfId="50" builtinId="9" hidden="1"/>
    <cellStyle name="已访问的超链接" xfId="51" builtinId="9" hidden="1"/>
    <cellStyle name="已访问的超链接" xfId="52" builtinId="9" hidden="1"/>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3</xdr:col>
      <xdr:colOff>733425</xdr:colOff>
      <xdr:row>20</xdr:row>
      <xdr:rowOff>85725</xdr:rowOff>
    </xdr:to>
    <xdr:pic>
      <xdr:nvPicPr>
        <xdr:cNvPr id="181249" name="Picture 1"/>
        <xdr:cNvPicPr>
          <a:picLocks noChangeAspect="1" noChangeArrowheads="1"/>
        </xdr:cNvPicPr>
      </xdr:nvPicPr>
      <xdr:blipFill>
        <a:blip xmlns:r="http://schemas.openxmlformats.org/officeDocument/2006/relationships" r:embed="rId1"/>
        <a:srcRect/>
        <a:stretch>
          <a:fillRect/>
        </a:stretch>
      </xdr:blipFill>
      <xdr:spPr bwMode="auto">
        <a:xfrm>
          <a:off x="1962150" y="5476875"/>
          <a:ext cx="1714500" cy="7715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78441</xdr:colOff>
      <xdr:row>17</xdr:row>
      <xdr:rowOff>86229</xdr:rowOff>
    </xdr:from>
    <xdr:to>
      <xdr:col>19</xdr:col>
      <xdr:colOff>459441</xdr:colOff>
      <xdr:row>21</xdr:row>
      <xdr:rowOff>106456</xdr:rowOff>
    </xdr:to>
    <xdr:pic>
      <xdr:nvPicPr>
        <xdr:cNvPr id="2" name="图片 1" descr="屏幕快照 2018-11-22 下午2.16.1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49853" y="7605376"/>
          <a:ext cx="4347882" cy="1059012"/>
        </a:xfrm>
        <a:prstGeom prst="rect">
          <a:avLst/>
        </a:prstGeom>
      </xdr:spPr>
    </xdr:pic>
    <xdr:clientData/>
  </xdr:twoCellAnchor>
  <xdr:twoCellAnchor editAs="oneCell">
    <xdr:from>
      <xdr:col>13</xdr:col>
      <xdr:colOff>39594</xdr:colOff>
      <xdr:row>21</xdr:row>
      <xdr:rowOff>74537</xdr:rowOff>
    </xdr:from>
    <xdr:to>
      <xdr:col>19</xdr:col>
      <xdr:colOff>389962</xdr:colOff>
      <xdr:row>25</xdr:row>
      <xdr:rowOff>87032</xdr:rowOff>
    </xdr:to>
    <xdr:pic>
      <xdr:nvPicPr>
        <xdr:cNvPr id="3" name="图片 2" descr="屏幕快照 2018-11-22 下午2.16.16.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11006" y="8613419"/>
          <a:ext cx="4317250" cy="833887"/>
        </a:xfrm>
        <a:prstGeom prst="rect">
          <a:avLst/>
        </a:prstGeom>
      </xdr:spPr>
    </xdr:pic>
    <xdr:clientData/>
  </xdr:twoCellAnchor>
  <xdr:twoCellAnchor editAs="oneCell">
    <xdr:from>
      <xdr:col>12</xdr:col>
      <xdr:colOff>795618</xdr:colOff>
      <xdr:row>26</xdr:row>
      <xdr:rowOff>127661</xdr:rowOff>
    </xdr:from>
    <xdr:to>
      <xdr:col>21</xdr:col>
      <xdr:colOff>108662</xdr:colOff>
      <xdr:row>34</xdr:row>
      <xdr:rowOff>122482</xdr:rowOff>
    </xdr:to>
    <xdr:pic>
      <xdr:nvPicPr>
        <xdr:cNvPr id="4" name="图片 3" descr="屏幕快照 2018-11-22 下午6.32.41.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37794" y="9506985"/>
          <a:ext cx="5790044" cy="16376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139700</xdr:colOff>
      <xdr:row>40</xdr:row>
      <xdr:rowOff>63500</xdr:rowOff>
    </xdr:to>
    <xdr:pic>
      <xdr:nvPicPr>
        <xdr:cNvPr id="2" name="图片 1" descr="屏幕快照 2018-11-21 下午10.21.0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173200" cy="7175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292100</xdr:colOff>
      <xdr:row>21</xdr:row>
      <xdr:rowOff>76200</xdr:rowOff>
    </xdr:to>
    <xdr:pic>
      <xdr:nvPicPr>
        <xdr:cNvPr id="2" name="图片 1" descr="屏幕快照 2018-11-21 下午10.20.5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151100" cy="381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127000</xdr:colOff>
      <xdr:row>30</xdr:row>
      <xdr:rowOff>76200</xdr:rowOff>
    </xdr:to>
    <xdr:pic>
      <xdr:nvPicPr>
        <xdr:cNvPr id="2" name="图片 1" descr="屏幕快照 2018-11-21 下午10.23.1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811500" cy="541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711200</xdr:colOff>
      <xdr:row>12</xdr:row>
      <xdr:rowOff>0</xdr:rowOff>
    </xdr:to>
    <xdr:pic>
      <xdr:nvPicPr>
        <xdr:cNvPr id="2" name="图片 1" descr="屏幕快照 2018-11-21 下午9.09.44.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33400"/>
          <a:ext cx="8204200" cy="1600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xdr:row>
      <xdr:rowOff>165100</xdr:rowOff>
    </xdr:from>
    <xdr:to>
      <xdr:col>10</xdr:col>
      <xdr:colOff>742950</xdr:colOff>
      <xdr:row>37</xdr:row>
      <xdr:rowOff>84072</xdr:rowOff>
    </xdr:to>
    <xdr:pic>
      <xdr:nvPicPr>
        <xdr:cNvPr id="2" name="图片 1" descr="屏幕快照 2018-11-21 下午8.46.27.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2875"/>
          <a:ext cx="9124950" cy="5062472"/>
        </a:xfrm>
        <a:prstGeom prst="rect">
          <a:avLst/>
        </a:prstGeom>
      </xdr:spPr>
    </xdr:pic>
    <xdr:clientData/>
  </xdr:twoCellAnchor>
  <xdr:twoCellAnchor editAs="oneCell">
    <xdr:from>
      <xdr:col>15</xdr:col>
      <xdr:colOff>0</xdr:colOff>
      <xdr:row>0</xdr:row>
      <xdr:rowOff>0</xdr:rowOff>
    </xdr:from>
    <xdr:to>
      <xdr:col>24</xdr:col>
      <xdr:colOff>38100</xdr:colOff>
      <xdr:row>22</xdr:row>
      <xdr:rowOff>123825</xdr:rowOff>
    </xdr:to>
    <xdr:pic>
      <xdr:nvPicPr>
        <xdr:cNvPr id="3" name="图片 2" descr="屏幕快照 2018-11-21 下午8.31.39.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00" y="0"/>
          <a:ext cx="7467600" cy="4305300"/>
        </a:xfrm>
        <a:prstGeom prst="rect">
          <a:avLst/>
        </a:prstGeom>
      </xdr:spPr>
    </xdr:pic>
    <xdr:clientData/>
  </xdr:twoCellAnchor>
  <xdr:twoCellAnchor>
    <xdr:from>
      <xdr:col>9</xdr:col>
      <xdr:colOff>508000</xdr:colOff>
      <xdr:row>22</xdr:row>
      <xdr:rowOff>152400</xdr:rowOff>
    </xdr:from>
    <xdr:to>
      <xdr:col>9</xdr:col>
      <xdr:colOff>711200</xdr:colOff>
      <xdr:row>23</xdr:row>
      <xdr:rowOff>165100</xdr:rowOff>
    </xdr:to>
    <xdr:sp macro="" textlink="">
      <xdr:nvSpPr>
        <xdr:cNvPr id="4" name="椭圆 3"/>
        <xdr:cNvSpPr/>
      </xdr:nvSpPr>
      <xdr:spPr>
        <a:xfrm>
          <a:off x="7937500" y="4102100"/>
          <a:ext cx="203200" cy="190500"/>
        </a:xfrm>
        <a:prstGeom prst="ellipse">
          <a:avLst/>
        </a:prstGeom>
        <a:solidFill>
          <a:srgbClr val="FF0000"/>
        </a:solidFill>
        <a:ln>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279400</xdr:colOff>
      <xdr:row>42</xdr:row>
      <xdr:rowOff>50800</xdr:rowOff>
    </xdr:to>
    <xdr:pic>
      <xdr:nvPicPr>
        <xdr:cNvPr id="2" name="图片 1" descr="屏幕快照 2018-11-21 下午9.36.32.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34400" cy="7518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海南省海口市琼山区红城湖片区棚改项目D11-1地块出让国有建设用地使用权及在建建筑物房地产抵押价值预评估</v>
      </c>
    </row>
    <row r="3" spans="1:2" s="1589" customFormat="1">
      <c r="A3" s="1587" t="s">
        <v>1221</v>
      </c>
      <c r="B3" s="1588" t="str">
        <f>'预评函-封皮'!B40</f>
        <v>昆仑信托有限责任公司</v>
      </c>
    </row>
    <row r="4" spans="1:2" s="1589" customFormat="1">
      <c r="A4" s="1587" t="s">
        <v>1222</v>
      </c>
      <c r="B4" s="1588" t="str">
        <f ca="1">'预评函-封皮'!B46</f>
        <v>王鹏（注册号：1120050019)、郑燚（注册号：1120070131)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受贵公司委托，我公司对海南省海口市琼山区红城湖片区棚改项目D11-1地块出让国有建设用地使用权及在建建筑物房地产抵押价值进行了预评估。</v>
      </c>
    </row>
    <row r="7" spans="1:2" s="1589" customFormat="1">
      <c r="A7" s="1587" t="s">
        <v>1264</v>
      </c>
      <c r="B7" s="1588" t="str">
        <f>'预评函-1'!A7</f>
        <v>估价对象为海南省海口市琼山区红城湖片区棚改项目D11-1地块出让国有建设用地使用权及在建建筑物房地产，为海南高和房地产开发有限公司所有。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建筑面积为135929.18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海南省海口市琼山区红城湖片区棚改项目D11-1地块出让国有建设用地使用权及在建建筑物房地产,属海南高和房地产开发有限公司开发建设的居住项目，该项目尚在开发建设中。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规划建筑面积为135929.18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2018年11月20日（评估专业人员实地查勘之日）</v>
      </c>
    </row>
    <row r="13" spans="1:2" s="1589" customFormat="1">
      <c r="A13" s="1587" t="s">
        <v>1227</v>
      </c>
      <c r="B13" s="1588" t="str">
        <f>'预评函-1'!A18</f>
        <v>本次估价的“房地产价值”是指在正常市场情况下，在价值时点2018年11月20日，估价对象规划用途为住宅、商业及地下车库，土地取得方式为出让，出让国有建设用地使用权剩余土地使用年限为住宅67.8年、商业37.8年及地下车库47.8年，假定未设立法定优先受偿款下的房地产市场价值。</v>
      </c>
    </row>
    <row r="14" spans="1:2" s="1589" customFormat="1">
      <c r="A14" s="1587" t="s">
        <v>1228</v>
      </c>
      <c r="B14" s="1588" t="str">
        <f>'预评函-1'!A19</f>
        <v>其中，“出让国有建设用地使用权价值”是指估价对象用途为住宅、商业及地下车库，实际开发程度为宗地红线外“六通”（即通路、通电、通讯、通上水、通下水、燃气）、红线内场地平整条件下，剩余土地使用年限为住宅67.8年、商业37.8年及地下车库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91417</v>
      </c>
    </row>
    <row r="21" spans="1:2" s="1589" customFormat="1">
      <c r="A21" s="1587" t="s">
        <v>1235</v>
      </c>
      <c r="B21" s="1588">
        <f ca="1">'预评函-2'!D7</f>
        <v>6725</v>
      </c>
    </row>
    <row r="22" spans="1:2" s="1589" customFormat="1">
      <c r="A22" s="1587" t="s">
        <v>1236</v>
      </c>
      <c r="B22" s="1588" t="str">
        <f ca="1">'预评函-2'!D6</f>
        <v>玖亿壹仟肆佰壹拾柒万元整</v>
      </c>
    </row>
    <row r="23" spans="1:2" s="1589" customFormat="1">
      <c r="A23" s="1587" t="s">
        <v>1287</v>
      </c>
      <c r="B23" s="1588" t="str">
        <f>'预评函-2'!B8</f>
        <v>2.估价师知悉的法定优先受偿款</v>
      </c>
    </row>
    <row r="24" spans="1:2" s="1589" customFormat="1">
      <c r="A24" s="1587" t="s">
        <v>1293</v>
      </c>
      <c r="B24" s="1588">
        <f>'预评函-2'!D8</f>
        <v>413</v>
      </c>
    </row>
    <row r="25" spans="1:2" s="1589" customFormat="1">
      <c r="A25" s="1587" t="s">
        <v>1237</v>
      </c>
      <c r="B25" s="1588" t="str">
        <f>'预评函-2'!D9</f>
        <v>肆佰壹拾叁万元整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413</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91004</v>
      </c>
    </row>
    <row r="35" spans="1:2" s="1589" customFormat="1">
      <c r="A35" s="1587" t="s">
        <v>1275</v>
      </c>
      <c r="B35" s="1588">
        <f ca="1">'预评函-2'!D18</f>
        <v>6695</v>
      </c>
    </row>
    <row r="36" spans="1:2" s="1589" customFormat="1">
      <c r="A36" s="1587" t="s">
        <v>1242</v>
      </c>
      <c r="B36" s="1588" t="str">
        <f ca="1">'预评函-2'!D17</f>
        <v>玖亿壹仟零肆万元整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海南省海口市琼山区红城湖片区棚改项目D11-1地块出让国有建设用地使用权及在建建筑物房地产</v>
      </c>
    </row>
    <row r="42" spans="1:2" s="1589" customFormat="1">
      <c r="A42" s="1587" t="s">
        <v>1288</v>
      </c>
      <c r="B42" s="1588" t="str">
        <f>'预评函-3'!B2</f>
        <v>建筑面积</v>
      </c>
    </row>
    <row r="43" spans="1:2" s="1589" customFormat="1">
      <c r="A43" s="1587" t="s">
        <v>1289</v>
      </c>
      <c r="B43" s="1588">
        <f>'预评函-3'!B4</f>
        <v>135929.18</v>
      </c>
    </row>
    <row r="44" spans="1:2" s="1589" customFormat="1">
      <c r="A44" s="1587" t="s">
        <v>1273</v>
      </c>
      <c r="B44" s="1588" t="str">
        <f>'预评函-3'!C2</f>
        <v>(分摊)土地面积</v>
      </c>
    </row>
    <row r="45" spans="1:2" s="1589" customFormat="1">
      <c r="A45" s="1587" t="s">
        <v>1245</v>
      </c>
      <c r="B45" s="1588">
        <f>'预评函-3'!C4</f>
        <v>30136.12</v>
      </c>
    </row>
    <row r="46" spans="1:2" s="1589" customFormat="1">
      <c r="A46" s="1587" t="s">
        <v>1271</v>
      </c>
      <c r="B46" s="1588" t="str">
        <f>'预评函-3'!D2</f>
        <v>出让国有建设用地使用权价值</v>
      </c>
    </row>
    <row r="47" spans="1:2" s="1589" customFormat="1">
      <c r="A47" s="1587" t="s">
        <v>1246</v>
      </c>
      <c r="B47" s="1588">
        <f ca="1">'预评函-3'!D4</f>
        <v>89132</v>
      </c>
    </row>
    <row r="48" spans="1:2" s="1589" customFormat="1">
      <c r="A48" s="1587" t="s">
        <v>1247</v>
      </c>
      <c r="B48" s="1588">
        <f ca="1">'预评函-3'!E4</f>
        <v>6557</v>
      </c>
    </row>
    <row r="49" spans="1:2" s="1589" customFormat="1">
      <c r="A49" s="1587" t="s">
        <v>1248</v>
      </c>
      <c r="B49" s="1588" t="str">
        <f ca="1">'预评函-3'!D5</f>
        <v>捌亿玖仟壹佰叁拾贰万元整</v>
      </c>
    </row>
    <row r="50" spans="1:2" s="1589" customFormat="1">
      <c r="A50" s="1587" t="s">
        <v>1272</v>
      </c>
      <c r="B50" s="1588" t="str">
        <f>'预评函-3'!F2</f>
        <v>在建建筑物价值</v>
      </c>
    </row>
    <row r="51" spans="1:2" s="1589" customFormat="1">
      <c r="A51" s="1587" t="s">
        <v>1249</v>
      </c>
      <c r="B51" s="1588">
        <f ca="1">'预评函-3'!F4</f>
        <v>2285</v>
      </c>
    </row>
    <row r="52" spans="1:2" s="1589" customFormat="1">
      <c r="A52" s="1587" t="s">
        <v>1250</v>
      </c>
      <c r="B52" s="1588">
        <f ca="1">'预评函-3'!G4</f>
        <v>168</v>
      </c>
    </row>
    <row r="53" spans="1:2" s="1589" customFormat="1">
      <c r="A53" s="1587" t="s">
        <v>1278</v>
      </c>
      <c r="B53" s="1588" t="str">
        <f ca="1">'预评函-3'!F5</f>
        <v>贰仟贰佰捌拾伍万元整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原件、，截至价值时点，估价对象已设定抵押。上述抵押权设定日期为2018年5月11日，权利人为山东省国际信托股份有限公司，权利范围为土地面积为30136.12平方米的土地使用权，权利价值为8亿元。</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故，本次评估估价师知悉的法定优先受偿款为人民币413万元整。</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郑燚</v>
      </c>
    </row>
    <row r="73" spans="1:2" s="1583" customFormat="1" ht="15" thickBot="1">
      <c r="A73" s="1590" t="s">
        <v>1263</v>
      </c>
      <c r="B73" s="1591">
        <f ca="1">'预评函-4'!B5</f>
        <v>1120070131</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X19" sqref="X19"/>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3105</v>
      </c>
      <c r="C18" s="2011"/>
    </row>
    <row r="19" spans="1:3">
      <c r="A19" s="2010" t="s">
        <v>1768</v>
      </c>
      <c r="B19" s="2010" t="s">
        <v>3106</v>
      </c>
      <c r="C19" s="2011"/>
    </row>
    <row r="20" spans="1:3">
      <c r="A20" s="2010" t="s">
        <v>1769</v>
      </c>
      <c r="B20" s="2010" t="s">
        <v>3107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32"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20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32"/>
      <c r="B54" s="2018" t="s">
        <v>864</v>
      </c>
      <c r="C54" s="2015" t="s">
        <v>1281</v>
      </c>
    </row>
    <row r="55" spans="1:4">
      <c r="A55" s="3032"/>
      <c r="B55" s="2018" t="s">
        <v>865</v>
      </c>
      <c r="C55" s="2015" t="s">
        <v>1282</v>
      </c>
    </row>
    <row r="56" spans="1:4">
      <c r="A56" s="3032"/>
      <c r="B56" s="2018" t="s">
        <v>866</v>
      </c>
      <c r="C56" s="2015" t="s">
        <v>1286</v>
      </c>
    </row>
    <row r="57" spans="1:4">
      <c r="A57" s="3032"/>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topLeftCell="A16" zoomScale="90" zoomScaleSheetLayoutView="90" workbookViewId="0">
      <selection activeCell="L14" sqref="L14"/>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49" customWidth="1"/>
    <col min="10" max="10" width="10" style="2028" customWidth="1"/>
    <col min="11" max="11" width="10" style="2150" customWidth="1"/>
    <col min="12" max="13" width="10" style="2151" customWidth="1"/>
    <col min="14" max="14" width="10" style="2028" customWidth="1"/>
    <col min="15" max="15" width="10" style="2149" customWidth="1"/>
    <col min="16" max="17" width="10" style="2028"/>
    <col min="18" max="18" width="10" style="2028" customWidth="1"/>
    <col min="19" max="16384" width="10" style="2028"/>
  </cols>
  <sheetData>
    <row r="1" spans="1:19" ht="38.25" customHeight="1" thickBot="1">
      <c r="A1" s="2021" t="s">
        <v>1776</v>
      </c>
      <c r="B1" s="3041" t="str">
        <f>IF(B10="北京市","北京市",C10)&amp;F10&amp;IF(结果表!G1="在建","出让国有建设用地使用权及在建建筑物",IF(结果表!G1="土地","出让国有建设用地使用权",))&amp;B9&amp;"预评估"</f>
        <v>海南省海口市琼山区红城湖片区棚改项目D11-1地块出让国有建设用地使用权及在建建筑物房地产抵押价值预评估</v>
      </c>
      <c r="C1" s="3042"/>
      <c r="D1" s="3042"/>
      <c r="E1" s="3042"/>
      <c r="F1" s="3042"/>
      <c r="G1" s="3042"/>
      <c r="H1" s="3042"/>
      <c r="I1" s="304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海南省海口市琼山区红城湖片区棚改项目D11-1地块出让国有建设用地使用权及在建建筑物房地产抵押价值</v>
      </c>
    </row>
    <row r="2" spans="1:19" ht="18" customHeight="1">
      <c r="A2" s="2022" t="s">
        <v>1777</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海南省海口市琼山区红城湖片区棚改项目D11-1地块出让国有建设用地使用权及在建建筑物房地产</v>
      </c>
    </row>
    <row r="3" spans="1:19" ht="18" customHeight="1">
      <c r="A3" s="2031" t="s">
        <v>1778</v>
      </c>
      <c r="B3" s="2032">
        <v>43424</v>
      </c>
      <c r="C3" s="2033" t="s">
        <v>1779</v>
      </c>
      <c r="D3" s="2032">
        <f>B3</f>
        <v>43424</v>
      </c>
      <c r="E3" s="2022"/>
      <c r="F3" s="2022"/>
      <c r="G3" s="2022"/>
      <c r="H3" s="2022"/>
      <c r="I3" s="2022"/>
      <c r="J3" s="2022"/>
      <c r="K3" s="2023"/>
      <c r="L3" s="2024"/>
      <c r="M3" s="2024"/>
      <c r="N3" s="2025"/>
      <c r="O3" s="2026"/>
      <c r="P3" s="2025"/>
      <c r="Q3" s="2025"/>
      <c r="R3" s="2025"/>
      <c r="S3" s="2027"/>
    </row>
    <row r="4" spans="1:19" ht="18" customHeight="1" thickBot="1">
      <c r="A4" s="2034" t="s">
        <v>1780</v>
      </c>
      <c r="B4" s="2035" t="s">
        <v>3040</v>
      </c>
      <c r="C4" s="1035">
        <f ca="1">SUMIF(注册房地产估价师,B4,估价师及机构信息!B3:B24)</f>
        <v>1120050019</v>
      </c>
      <c r="D4" s="2035" t="s">
        <v>3041</v>
      </c>
      <c r="E4" s="1036">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1781</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1782</v>
      </c>
      <c r="B6" s="2941" t="s">
        <v>3042</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1783</v>
      </c>
      <c r="B7" s="2048" t="str">
        <f>C11</f>
        <v>海南高和房地产开发有限公司</v>
      </c>
      <c r="C7" s="2045"/>
      <c r="D7" s="2046"/>
      <c r="E7" s="2030"/>
      <c r="F7" s="2038"/>
      <c r="G7" s="2038"/>
      <c r="H7" s="2038"/>
      <c r="I7" s="2038"/>
      <c r="J7" s="2038"/>
      <c r="K7" s="2049"/>
      <c r="L7" s="2024"/>
      <c r="M7" s="2024"/>
      <c r="N7" s="2025"/>
      <c r="O7" s="2026"/>
      <c r="P7" s="2025"/>
      <c r="Q7" s="2025"/>
      <c r="R7" s="2025"/>
    </row>
    <row r="8" spans="1:19" ht="18" customHeight="1">
      <c r="A8" s="2044" t="s">
        <v>1784</v>
      </c>
      <c r="B8" s="2050" t="s">
        <v>3043</v>
      </c>
      <c r="C8" s="2051"/>
      <c r="D8" s="3044" t="s">
        <v>1785</v>
      </c>
      <c r="E8" s="2052" t="s">
        <v>3097</v>
      </c>
      <c r="F8" s="2053"/>
      <c r="G8" s="2022"/>
      <c r="H8" s="2022"/>
      <c r="I8" s="2022"/>
      <c r="J8" s="2038"/>
      <c r="K8" s="2039"/>
      <c r="L8" s="2024"/>
      <c r="M8" s="2024"/>
      <c r="N8" s="2025"/>
      <c r="O8" s="2026"/>
      <c r="P8" s="2025"/>
      <c r="Q8" s="2025"/>
      <c r="R8" s="2025"/>
    </row>
    <row r="9" spans="1:19" ht="18" customHeight="1" thickBot="1">
      <c r="A9" s="2036" t="s">
        <v>1786</v>
      </c>
      <c r="B9" s="2054" t="s">
        <v>3044</v>
      </c>
      <c r="C9" s="2055"/>
      <c r="D9" s="3045"/>
      <c r="E9" s="2054"/>
      <c r="F9" s="2056"/>
      <c r="G9" s="2057"/>
      <c r="H9" s="2057"/>
      <c r="I9" s="2057"/>
      <c r="J9" s="2038"/>
      <c r="K9" s="2049"/>
      <c r="L9" s="2024"/>
      <c r="M9" s="2024"/>
      <c r="N9" s="2025"/>
      <c r="O9" s="2026"/>
      <c r="P9" s="2025"/>
      <c r="Q9" s="2025"/>
      <c r="R9" s="2025"/>
    </row>
    <row r="10" spans="1:19" ht="18" customHeight="1" thickTop="1">
      <c r="A10" s="2058" t="s">
        <v>1787</v>
      </c>
      <c r="B10" s="2059" t="s">
        <v>3045</v>
      </c>
      <c r="C10" s="2943" t="s">
        <v>3047</v>
      </c>
      <c r="D10" s="2043"/>
      <c r="E10" s="2060" t="s">
        <v>1788</v>
      </c>
      <c r="F10" s="2944" t="s">
        <v>3410</v>
      </c>
      <c r="G10" s="2061"/>
      <c r="H10" s="2062"/>
      <c r="I10" s="2043"/>
      <c r="J10" s="2038"/>
      <c r="K10" s="2049"/>
      <c r="L10" s="2024"/>
      <c r="M10" s="2024"/>
      <c r="N10" s="2025"/>
      <c r="O10" s="2026"/>
      <c r="P10" s="2025"/>
      <c r="Q10" s="2025"/>
      <c r="R10" s="2025"/>
    </row>
    <row r="11" spans="1:19" ht="18" customHeight="1">
      <c r="A11" s="2063" t="s">
        <v>1789</v>
      </c>
      <c r="B11" s="2942" t="s">
        <v>3046</v>
      </c>
      <c r="C11" s="2945" t="s">
        <v>3048</v>
      </c>
      <c r="D11" s="2065"/>
      <c r="E11" s="2038"/>
      <c r="F11" s="2038"/>
      <c r="G11" s="2038"/>
      <c r="H11" s="2038"/>
      <c r="I11" s="2038"/>
      <c r="J11" s="2038"/>
      <c r="K11" s="2049"/>
      <c r="L11" s="2024"/>
      <c r="M11" s="2024"/>
      <c r="N11" s="2025"/>
      <c r="O11" s="2026"/>
      <c r="P11" s="2025"/>
      <c r="Q11" s="2025"/>
      <c r="R11" s="2025"/>
    </row>
    <row r="12" spans="1:19" ht="18" customHeight="1">
      <c r="A12" s="2066" t="s">
        <v>1790</v>
      </c>
      <c r="B12" s="2064" t="s">
        <v>3049</v>
      </c>
      <c r="C12" s="2067" t="s">
        <v>1791</v>
      </c>
      <c r="D12" s="2068" t="s">
        <v>1792</v>
      </c>
      <c r="E12" s="2068" t="s">
        <v>1793</v>
      </c>
      <c r="F12" s="2068" t="s">
        <v>1794</v>
      </c>
      <c r="G12" s="2068" t="s">
        <v>1795</v>
      </c>
      <c r="H12" s="2068" t="s">
        <v>1796</v>
      </c>
      <c r="I12" s="2068" t="s">
        <v>1797</v>
      </c>
      <c r="J12" s="2038"/>
      <c r="K12" s="2049"/>
      <c r="L12" s="2024"/>
      <c r="M12" s="2024"/>
      <c r="N12" s="2025"/>
      <c r="O12" s="2026"/>
      <c r="P12" s="2025"/>
      <c r="Q12" s="2025"/>
      <c r="R12" s="2025"/>
    </row>
    <row r="13" spans="1:19" ht="18" customHeight="1">
      <c r="A13" s="2069"/>
      <c r="B13" s="2070"/>
      <c r="C13" s="2071" t="s">
        <v>1798</v>
      </c>
      <c r="D13" s="2072">
        <v>68186</v>
      </c>
      <c r="E13" s="2072">
        <v>57229</v>
      </c>
      <c r="F13" s="2072"/>
      <c r="G13" s="2072">
        <v>60881</v>
      </c>
      <c r="H13" s="2072"/>
      <c r="I13" s="1045"/>
      <c r="J13" s="2038"/>
      <c r="K13" s="2049"/>
      <c r="L13" s="2024"/>
      <c r="M13" s="2024"/>
      <c r="N13" s="2025"/>
      <c r="O13" s="2026"/>
      <c r="P13" s="2025"/>
      <c r="Q13" s="2025"/>
      <c r="R13" s="2025"/>
    </row>
    <row r="14" spans="1:19" ht="18" customHeight="1">
      <c r="A14" s="2069"/>
      <c r="B14" s="2070"/>
      <c r="C14" s="2071" t="s">
        <v>1799</v>
      </c>
      <c r="D14" s="1048">
        <v>70</v>
      </c>
      <c r="E14" s="1048">
        <v>40</v>
      </c>
      <c r="F14" s="1048"/>
      <c r="G14" s="1048">
        <v>50</v>
      </c>
      <c r="H14" s="1048"/>
      <c r="I14" s="1048"/>
      <c r="J14" s="2038"/>
      <c r="K14" s="2073"/>
      <c r="L14" s="2024"/>
      <c r="M14" s="2024"/>
      <c r="N14" s="2025"/>
      <c r="O14" s="2026"/>
      <c r="P14" s="2025"/>
      <c r="Q14" s="2025"/>
      <c r="R14" s="2025"/>
    </row>
    <row r="15" spans="1:19" ht="18" customHeight="1">
      <c r="A15" s="2058"/>
      <c r="B15" s="2074"/>
      <c r="C15" s="2071" t="s">
        <v>1800</v>
      </c>
      <c r="D15" s="1047">
        <f>IF(B12="出让",IF(D13="","",ROUNDDOWN(MIN((D13-$D$3)/365,D14),2)),D14)</f>
        <v>67.84</v>
      </c>
      <c r="E15" s="1047">
        <f>IF(B12="出让",IF(E13="","",ROUNDDOWN(MIN((E13-$D$3)/365,E14),2)),E14)</f>
        <v>37.82</v>
      </c>
      <c r="F15" s="1047" t="str">
        <f>IF(B12="出让",IF(F13="","",ROUNDDOWN(MIN((F13-$D$3)/365,F14),2)),F14)</f>
        <v/>
      </c>
      <c r="G15" s="1047">
        <f>IF(B12="出让",IF(G13="","",ROUNDDOWN(MIN((G13-$D$3)/365,G14),2)),G14)</f>
        <v>47.82</v>
      </c>
      <c r="H15" s="1047" t="str">
        <f>IF(B12="出让",IF(H13="","",ROUNDDOWN(MIN((H13-$D$3)/365,H14),2)),H14)</f>
        <v/>
      </c>
      <c r="I15" s="1047" t="str">
        <f>IF(B12="出让",IF(I13="","",ROUNDDOWN(MIN((I13-$D$3)/365,I14),2)),I14)</f>
        <v/>
      </c>
      <c r="J15" s="2038"/>
      <c r="K15" s="2075"/>
      <c r="L15" s="2076"/>
      <c r="M15" s="2076"/>
      <c r="N15" s="2077"/>
      <c r="O15" s="2076"/>
      <c r="P15" s="2077"/>
      <c r="Q15" s="2025"/>
      <c r="R15" s="2025"/>
    </row>
    <row r="16" spans="1:19" ht="30.75" customHeight="1">
      <c r="A16" s="2060" t="s">
        <v>1801</v>
      </c>
      <c r="B16" s="3051" t="s">
        <v>3050</v>
      </c>
      <c r="C16" s="3052"/>
      <c r="D16" s="3053"/>
      <c r="E16" s="2078" t="s">
        <v>1802</v>
      </c>
      <c r="F16" s="3054" t="s">
        <v>3051</v>
      </c>
      <c r="G16" s="3055"/>
      <c r="H16" s="3055"/>
      <c r="I16" s="3056"/>
      <c r="J16" s="2025"/>
      <c r="K16" s="2075"/>
      <c r="L16" s="2076"/>
      <c r="M16" s="2076"/>
      <c r="N16" s="2077"/>
      <c r="O16" s="2076"/>
      <c r="P16" s="2077"/>
      <c r="Q16" s="2025"/>
      <c r="R16" s="2025"/>
    </row>
    <row r="17" spans="1:22" ht="18" customHeight="1">
      <c r="A17" s="2079" t="s">
        <v>1803</v>
      </c>
      <c r="B17" s="2031" t="s">
        <v>1804</v>
      </c>
      <c r="C17" s="1052">
        <f>'数据-汇总表'!E3</f>
        <v>135929.18</v>
      </c>
      <c r="D17" s="2080" t="s">
        <v>1805</v>
      </c>
      <c r="E17" s="3057" t="s">
        <v>3478</v>
      </c>
      <c r="F17" s="3058"/>
      <c r="G17" s="3058"/>
      <c r="H17" s="3058"/>
      <c r="I17" s="3059"/>
      <c r="J17" s="2025"/>
      <c r="K17" s="2081"/>
      <c r="L17" s="2076"/>
      <c r="M17" s="2076"/>
      <c r="N17" s="2077"/>
      <c r="O17" s="2076"/>
      <c r="P17" s="2077"/>
      <c r="Q17" s="2025"/>
      <c r="R17" s="2025"/>
      <c r="S17" s="2025"/>
      <c r="T17" s="2025"/>
      <c r="U17" s="2025"/>
      <c r="V17" s="2025"/>
    </row>
    <row r="18" spans="1:22" ht="36" customHeight="1" thickBot="1">
      <c r="A18" s="2082" t="s">
        <v>70</v>
      </c>
      <c r="B18" s="2034" t="s">
        <v>1806</v>
      </c>
      <c r="C18" s="1441">
        <f>'数据-汇总表'!D3</f>
        <v>30136.12</v>
      </c>
      <c r="D18" s="2083" t="s">
        <v>1805</v>
      </c>
      <c r="E18" s="3060" t="s">
        <v>3052</v>
      </c>
      <c r="F18" s="3061"/>
      <c r="G18" s="3061"/>
      <c r="H18" s="3061"/>
      <c r="I18" s="3062"/>
      <c r="J18" s="2025"/>
      <c r="K18" s="2081"/>
      <c r="L18" s="2076"/>
      <c r="M18" s="2076"/>
      <c r="N18" s="2077"/>
      <c r="O18" s="2076"/>
      <c r="P18" s="2077"/>
      <c r="Q18" s="2025"/>
      <c r="R18" s="2025"/>
      <c r="S18" s="2025"/>
      <c r="T18" s="2025"/>
      <c r="U18" s="2025"/>
      <c r="V18" s="2025"/>
    </row>
    <row r="19" spans="1:22" ht="37.5" customHeight="1" thickTop="1" thickBot="1">
      <c r="A19" s="372" t="s">
        <v>1807</v>
      </c>
      <c r="B19" s="351" t="s">
        <v>1808</v>
      </c>
      <c r="C19" s="2084" t="s">
        <v>3053</v>
      </c>
      <c r="D19" s="2085" t="s">
        <v>1809</v>
      </c>
      <c r="E19" s="2086" t="s">
        <v>3053</v>
      </c>
      <c r="F19" s="2087" t="str">
        <f>IF(AND(C19="是",E19="否"),"是否提供他项权证或相关说明","")</f>
        <v/>
      </c>
      <c r="G19" s="2088"/>
      <c r="H19" s="2038"/>
      <c r="I19" s="2038"/>
      <c r="J19" s="2038"/>
      <c r="K19" s="2049"/>
      <c r="L19" s="2024"/>
      <c r="M19" s="2024"/>
      <c r="N19" s="2077"/>
      <c r="O19" s="2076"/>
      <c r="P19" s="2077"/>
      <c r="Q19" s="2025"/>
      <c r="R19" s="2025"/>
      <c r="S19" s="2025"/>
      <c r="T19" s="2025"/>
      <c r="U19" s="2025"/>
      <c r="V19" s="2025"/>
    </row>
    <row r="20" spans="1:22" ht="18" customHeight="1">
      <c r="A20" s="2089" t="s">
        <v>1810</v>
      </c>
      <c r="B20" s="3047" t="s">
        <v>1811</v>
      </c>
      <c r="C20" s="3048"/>
      <c r="D20" s="3049" t="s">
        <v>1812</v>
      </c>
      <c r="E20" s="3050"/>
      <c r="F20" s="2090" t="s">
        <v>1813</v>
      </c>
      <c r="G20" s="2038"/>
      <c r="H20" s="2038"/>
      <c r="I20" s="2038"/>
      <c r="J20" s="2038"/>
      <c r="K20" s="3046" t="s">
        <v>1814</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4"/>
      <c r="N20" s="2077"/>
      <c r="O20" s="2076"/>
      <c r="P20" s="2077"/>
      <c r="Q20" s="2025"/>
      <c r="R20" s="2025"/>
      <c r="S20" s="2025"/>
      <c r="T20" s="2025"/>
      <c r="U20" s="2025"/>
      <c r="V20" s="2025"/>
    </row>
    <row r="21" spans="1:22" ht="24.75" customHeight="1">
      <c r="A21" s="2089"/>
      <c r="B21" s="2091" t="s">
        <v>3054</v>
      </c>
      <c r="C21" s="2092" t="s">
        <v>1815</v>
      </c>
      <c r="D21" s="2093" t="s">
        <v>3059</v>
      </c>
      <c r="E21" s="2094" t="s">
        <v>3055</v>
      </c>
      <c r="F21" s="2095"/>
      <c r="G21" s="2038"/>
      <c r="H21" s="2038"/>
      <c r="I21" s="2038"/>
      <c r="J21" s="2038"/>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上述抵押权设定日期为2018年5月11日，权利人为山东省国际信托股份有限公司，权利范围为土地面积为30136.12平方米的土地使用权，权利价值为8亿元。</v>
      </c>
      <c r="M21" s="2024"/>
      <c r="N21" s="2077"/>
      <c r="O21" s="2076"/>
      <c r="P21" s="2077"/>
      <c r="Q21" s="2025"/>
      <c r="R21" s="2025"/>
      <c r="S21" s="2025"/>
      <c r="T21" s="2025"/>
      <c r="U21" s="2025"/>
      <c r="V21" s="2025"/>
    </row>
    <row r="22" spans="1:22" ht="24.75" customHeight="1" thickBot="1">
      <c r="A22" s="2089"/>
      <c r="B22" s="2096"/>
      <c r="C22" s="2092"/>
      <c r="D22" s="2022"/>
      <c r="E22" s="2022"/>
      <c r="F22" s="2097"/>
      <c r="G22" s="2038"/>
      <c r="H22" s="2038"/>
      <c r="I22" s="2038"/>
      <c r="J22" s="2038"/>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1816</v>
      </c>
      <c r="B23" s="182" t="s">
        <v>1817</v>
      </c>
      <c r="C23" s="2099">
        <v>43231</v>
      </c>
      <c r="D23" s="2100" t="s">
        <v>1817</v>
      </c>
      <c r="E23" s="2101">
        <v>43381</v>
      </c>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1818</v>
      </c>
      <c r="C24" s="2946" t="s">
        <v>3056</v>
      </c>
      <c r="D24" s="2098" t="s">
        <v>1818</v>
      </c>
      <c r="E24" s="2104" t="str">
        <f>C24</f>
        <v>山东省国际信托股份有限公司</v>
      </c>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1819</v>
      </c>
      <c r="C25" s="2946" t="s">
        <v>3057</v>
      </c>
      <c r="D25" s="2098" t="s">
        <v>1819</v>
      </c>
      <c r="E25" s="2947" t="s">
        <v>3060</v>
      </c>
      <c r="F25" s="2097"/>
      <c r="G25" s="2038"/>
      <c r="H25" s="2038"/>
      <c r="I25" s="2038"/>
      <c r="J25" s="2038"/>
      <c r="K25" s="2049"/>
      <c r="L25" s="2024"/>
      <c r="M25" s="2024"/>
      <c r="N25" s="2077"/>
      <c r="O25" s="2076"/>
      <c r="P25" s="2077"/>
      <c r="Q25" s="2025"/>
      <c r="R25" s="2025"/>
      <c r="S25" s="2025"/>
      <c r="T25" s="2025"/>
      <c r="U25" s="2025"/>
      <c r="V25" s="2025"/>
    </row>
    <row r="26" spans="1:22" ht="18" customHeight="1" thickBot="1">
      <c r="A26" s="2105"/>
      <c r="B26" s="2106" t="s">
        <v>1820</v>
      </c>
      <c r="C26" s="2107" t="s">
        <v>3058</v>
      </c>
      <c r="D26" s="2108" t="s">
        <v>1821</v>
      </c>
      <c r="E26" s="2948" t="s">
        <v>3061</v>
      </c>
      <c r="F26" s="2109"/>
      <c r="G26" s="2057"/>
      <c r="H26" s="2057"/>
      <c r="I26" s="2057"/>
      <c r="J26" s="2038"/>
      <c r="K26" s="2049"/>
      <c r="L26" s="2024"/>
      <c r="M26" s="2024"/>
      <c r="N26" s="2077"/>
      <c r="O26" s="2076"/>
      <c r="P26" s="2077"/>
      <c r="Q26" s="2025"/>
      <c r="R26" s="2025"/>
      <c r="S26" s="2025"/>
      <c r="T26" s="2025"/>
      <c r="U26" s="2025"/>
      <c r="V26" s="2025"/>
    </row>
    <row r="27" spans="1:22" ht="18" customHeight="1" thickTop="1">
      <c r="A27" s="3034" t="s">
        <v>1822</v>
      </c>
      <c r="B27" s="2058" t="s">
        <v>1823</v>
      </c>
      <c r="C27" s="2949" t="s">
        <v>3062</v>
      </c>
      <c r="D27" s="2110"/>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34"/>
      <c r="B28" s="2031" t="s">
        <v>1824</v>
      </c>
      <c r="C28" s="2111"/>
      <c r="D28" s="2112"/>
      <c r="E28" s="2038"/>
      <c r="F28" s="2038"/>
      <c r="G28" s="2038"/>
      <c r="H28" s="2038"/>
      <c r="I28" s="2038"/>
      <c r="J28" s="2025"/>
      <c r="K28" s="2113"/>
      <c r="L28" s="2024"/>
      <c r="M28" s="2024"/>
      <c r="N28" s="2025"/>
      <c r="O28" s="2026"/>
      <c r="P28" s="2025"/>
      <c r="Q28" s="2025"/>
      <c r="R28" s="2025"/>
      <c r="S28" s="2025"/>
      <c r="T28" s="2025"/>
      <c r="U28" s="2025"/>
      <c r="V28" s="2025"/>
    </row>
    <row r="29" spans="1:22" ht="18" customHeight="1">
      <c r="A29" s="3034"/>
      <c r="B29" s="2031" t="s">
        <v>1825</v>
      </c>
      <c r="C29" s="2114"/>
      <c r="D29" s="2115"/>
      <c r="E29" s="2038"/>
      <c r="F29" s="2038"/>
      <c r="G29" s="2038"/>
      <c r="H29" s="2038"/>
      <c r="I29" s="2038"/>
      <c r="J29" s="2025"/>
      <c r="K29" s="2113"/>
      <c r="L29" s="2024"/>
      <c r="M29" s="2024"/>
      <c r="N29" s="2025"/>
      <c r="O29" s="2026"/>
      <c r="P29" s="2025"/>
      <c r="Q29" s="2025"/>
      <c r="R29" s="2025"/>
      <c r="S29" s="2025"/>
      <c r="T29" s="2025"/>
      <c r="U29" s="2025"/>
      <c r="V29" s="2025"/>
    </row>
    <row r="30" spans="1:22" ht="18" customHeight="1">
      <c r="A30" s="3035"/>
      <c r="B30" s="2031" t="s">
        <v>1826</v>
      </c>
      <c r="C30" s="3036"/>
      <c r="D30" s="3037"/>
      <c r="E30" s="2038"/>
      <c r="F30" s="2038"/>
      <c r="G30" s="2038"/>
      <c r="H30" s="2038"/>
      <c r="I30" s="2038"/>
      <c r="J30" s="2025"/>
      <c r="K30" s="2113"/>
      <c r="L30" s="2024"/>
      <c r="M30" s="2024"/>
      <c r="N30" s="2025"/>
      <c r="O30" s="2026"/>
      <c r="P30" s="2025"/>
      <c r="Q30" s="2025"/>
      <c r="R30" s="2025"/>
      <c r="S30" s="2025"/>
      <c r="T30" s="2025"/>
      <c r="U30" s="2025"/>
      <c r="V30" s="2025"/>
    </row>
    <row r="31" spans="1:22" ht="18" customHeight="1">
      <c r="A31" s="3038" t="s">
        <v>1827</v>
      </c>
      <c r="B31" s="2116" t="s">
        <v>3063</v>
      </c>
      <c r="C31" s="2117" t="str">
        <f>IF(B31="现房","成新及维护状况正常否",IF(B31="在建","工程状态是否正常",IF(B31="土地","是否闲置","-")))</f>
        <v>工程状态是否正常</v>
      </c>
      <c r="D31" s="2118"/>
      <c r="E31" s="2950" t="s">
        <v>3064</v>
      </c>
      <c r="F31" s="2038"/>
      <c r="G31" s="2038"/>
      <c r="H31" s="2038"/>
      <c r="I31" s="2038"/>
      <c r="J31" s="2038"/>
      <c r="K31" s="2047"/>
      <c r="L31" s="2024"/>
      <c r="M31" s="2024"/>
      <c r="N31" s="2025"/>
      <c r="O31" s="2026"/>
      <c r="P31" s="2025"/>
      <c r="Q31" s="2025"/>
      <c r="R31" s="2025"/>
      <c r="S31" s="2025"/>
      <c r="T31" s="2025"/>
      <c r="U31" s="2025"/>
      <c r="V31" s="2025"/>
    </row>
    <row r="32" spans="1:22" ht="18" customHeight="1">
      <c r="A32" s="3039"/>
      <c r="B32" s="2116"/>
      <c r="C32" s="2117" t="str">
        <f>IF(B32="现房","成新及维护状况是否正常",IF(B32="在建","工程状态是否正常",IF(B32="土地","是否闲置","-")))</f>
        <v>-</v>
      </c>
      <c r="D32" s="2118"/>
      <c r="E32" s="2119"/>
      <c r="F32" s="2038"/>
      <c r="G32" s="2038"/>
      <c r="H32" s="2038"/>
      <c r="I32" s="2038"/>
      <c r="J32" s="2038"/>
      <c r="K32" s="2049"/>
      <c r="L32" s="2024"/>
      <c r="M32" s="2024"/>
      <c r="N32" s="2025"/>
      <c r="O32" s="2026"/>
      <c r="P32" s="2025"/>
      <c r="Q32" s="2025"/>
      <c r="R32" s="2025"/>
      <c r="S32" s="2025"/>
      <c r="T32" s="2025"/>
      <c r="U32" s="2025"/>
      <c r="V32" s="2025"/>
    </row>
    <row r="33" spans="1:22" ht="18" customHeight="1">
      <c r="A33" s="3039"/>
      <c r="B33" s="2120"/>
      <c r="C33" s="2063" t="str">
        <f>IF(B33="现房","成新及维护状况是否正常",IF(B33="在建","工程状态是否正常",IF(B33="土地","是否闲置","-")))</f>
        <v>-</v>
      </c>
      <c r="D33" s="2121"/>
      <c r="E33" s="2122"/>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3" t="s">
        <v>3065</v>
      </c>
      <c r="C34" s="2123" t="s">
        <v>3066</v>
      </c>
      <c r="D34" s="2123" t="s">
        <v>3067</v>
      </c>
      <c r="E34" s="2123" t="s">
        <v>3068</v>
      </c>
      <c r="F34" s="2123" t="s">
        <v>3069</v>
      </c>
      <c r="G34" s="2123" t="s">
        <v>3070</v>
      </c>
      <c r="H34" s="2123" t="s">
        <v>70</v>
      </c>
      <c r="I34" s="2038"/>
      <c r="J34" s="2038"/>
      <c r="K34" s="1791">
        <f>COUNTIF(B34:H34,"——")</f>
        <v>1</v>
      </c>
      <c r="L34" s="2067" t="s">
        <v>1829</v>
      </c>
      <c r="M34" s="2067" t="s">
        <v>1830</v>
      </c>
      <c r="N34" s="2067" t="s">
        <v>1831</v>
      </c>
      <c r="O34" s="2067" t="s">
        <v>1832</v>
      </c>
      <c r="P34" s="2067" t="s">
        <v>1833</v>
      </c>
      <c r="Q34" s="2067" t="s">
        <v>1834</v>
      </c>
      <c r="R34" s="2067" t="s">
        <v>1835</v>
      </c>
      <c r="S34" s="3033" t="s">
        <v>1836</v>
      </c>
      <c r="T34" s="2124" t="str">
        <f>NUMBERSTRING(7-K34,1)&amp;"通"</f>
        <v>六通</v>
      </c>
      <c r="U34" s="2025"/>
      <c r="V34" s="2025"/>
    </row>
    <row r="35" spans="1:22" ht="18" customHeight="1">
      <c r="A35" s="2125"/>
      <c r="B35" s="3040" t="s">
        <v>1837</v>
      </c>
      <c r="C35" s="3040"/>
      <c r="D35" s="3040"/>
      <c r="E35" s="3040"/>
      <c r="F35" s="2126" t="str">
        <f>C10</f>
        <v>海南省</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3"/>
      <c r="T35" s="48" t="str">
        <f>IF(T34="一通",L35,IF(T34="二通",M35,IF(T34="三通",N35,IF(T34="四通",O35,IF(T34="五通",P35,IF(T34="六通",Q35,R35))))))</f>
        <v>通路、通电、通讯、通上水、通下水、燃气</v>
      </c>
      <c r="U35" s="2025"/>
      <c r="V35" s="2025"/>
    </row>
    <row r="36" spans="1:22" ht="18" customHeight="1">
      <c r="A36" s="2127"/>
      <c r="B36" s="2126" t="s">
        <v>1838</v>
      </c>
      <c r="C36" s="2126" t="s">
        <v>1839</v>
      </c>
      <c r="D36" s="2126" t="s">
        <v>1840</v>
      </c>
      <c r="E36" s="2126" t="s">
        <v>1841</v>
      </c>
      <c r="F36" s="2128"/>
      <c r="G36" s="2038"/>
      <c r="H36" s="2038"/>
      <c r="I36" s="2038"/>
      <c r="J36" s="2038"/>
      <c r="K36" s="2049"/>
      <c r="L36" s="2024"/>
      <c r="M36" s="2024"/>
      <c r="N36" s="2025"/>
      <c r="O36" s="2026"/>
      <c r="P36" s="2025"/>
      <c r="Q36" s="2025"/>
      <c r="R36" s="2025"/>
      <c r="S36" s="2025"/>
      <c r="T36" s="2025"/>
      <c r="U36" s="2025"/>
      <c r="V36" s="2025"/>
    </row>
    <row r="37" spans="1:22" ht="18" customHeight="1">
      <c r="A37" s="2129" t="s">
        <v>1842</v>
      </c>
      <c r="B37" s="2130"/>
      <c r="C37" s="2130"/>
      <c r="D37" s="2130"/>
      <c r="E37" s="2130"/>
      <c r="F37" s="2128"/>
      <c r="G37" s="2038"/>
      <c r="H37" s="2038"/>
      <c r="I37" s="2038"/>
      <c r="J37" s="2038"/>
      <c r="K37" s="2049"/>
      <c r="L37" s="2024"/>
      <c r="M37" s="2024"/>
      <c r="N37" s="2025"/>
      <c r="O37" s="2026"/>
      <c r="P37" s="2025"/>
      <c r="Q37" s="2025"/>
      <c r="R37" s="2025"/>
      <c r="S37" s="2025"/>
      <c r="T37" s="2025"/>
      <c r="U37" s="2025"/>
      <c r="V37" s="2025"/>
    </row>
    <row r="38" spans="1:22" ht="18" customHeight="1" thickBot="1">
      <c r="A38" s="2131" t="s">
        <v>1843</v>
      </c>
      <c r="B38" s="2132"/>
      <c r="C38" s="2132"/>
      <c r="D38" s="2132"/>
      <c r="E38" s="2132"/>
      <c r="F38" s="2133"/>
      <c r="G38" s="2057"/>
      <c r="H38" s="2057"/>
      <c r="I38" s="2057"/>
      <c r="J38" s="2038"/>
      <c r="K38" s="2049"/>
      <c r="L38" s="2024"/>
      <c r="M38" s="2024"/>
      <c r="N38" s="2025"/>
      <c r="O38" s="2026"/>
      <c r="P38" s="2025"/>
      <c r="Q38" s="2025"/>
      <c r="R38" s="2025"/>
      <c r="S38" s="2025"/>
      <c r="T38" s="2025"/>
      <c r="U38" s="2025"/>
      <c r="V38" s="2025"/>
    </row>
    <row r="39" spans="1:22" s="2138" customFormat="1" ht="18" customHeight="1" thickTop="1" thickBot="1">
      <c r="A39" s="2134" t="s">
        <v>1844</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5"/>
      <c r="B40" s="2025"/>
      <c r="C40" s="2025"/>
      <c r="D40" s="2025"/>
      <c r="E40" s="2025"/>
      <c r="F40" s="2025"/>
      <c r="G40" s="2025"/>
      <c r="H40" s="2025"/>
      <c r="I40" s="2139"/>
      <c r="J40" s="2077"/>
      <c r="K40" s="665"/>
      <c r="L40" s="2076"/>
      <c r="M40" s="2076"/>
      <c r="N40" s="2077"/>
      <c r="O40" s="2076"/>
      <c r="P40" s="2025"/>
      <c r="Q40" s="2025"/>
      <c r="R40" s="2025"/>
      <c r="S40" s="2025"/>
      <c r="T40" s="2025"/>
      <c r="U40" s="2025"/>
      <c r="V40" s="2025"/>
    </row>
    <row r="41" spans="1:22" ht="18" customHeight="1">
      <c r="A41" s="8" t="s">
        <v>1845</v>
      </c>
      <c r="B41" s="2140"/>
      <c r="C41" s="2141"/>
      <c r="D41" s="2025"/>
      <c r="E41" s="2025"/>
      <c r="F41" s="2025"/>
      <c r="G41" s="2025"/>
      <c r="H41" s="2025"/>
      <c r="I41" s="2026"/>
      <c r="J41" s="2025"/>
      <c r="K41" s="2113"/>
      <c r="L41" s="2024"/>
      <c r="M41" s="2024"/>
      <c r="N41" s="2025"/>
      <c r="O41" s="2026"/>
      <c r="P41" s="2025"/>
      <c r="Q41" s="2025"/>
      <c r="R41" s="2025"/>
      <c r="S41" s="2025"/>
      <c r="T41" s="2025"/>
      <c r="U41" s="2025"/>
      <c r="V41" s="2025"/>
    </row>
    <row r="42" spans="1:22" ht="18" customHeight="1">
      <c r="A42" s="2067" t="s">
        <v>1846</v>
      </c>
      <c r="B42" s="1791" t="s">
        <v>1847</v>
      </c>
      <c r="C42" s="1791" t="s">
        <v>1848</v>
      </c>
      <c r="D42" s="1791" t="s">
        <v>1849</v>
      </c>
      <c r="E42" s="1791" t="s">
        <v>1850</v>
      </c>
      <c r="F42" s="1791" t="s">
        <v>1851</v>
      </c>
      <c r="G42" s="1791" t="s">
        <v>1852</v>
      </c>
      <c r="H42" s="1791" t="s">
        <v>1853</v>
      </c>
      <c r="I42" s="1791" t="s">
        <v>1854</v>
      </c>
      <c r="J42" s="2142" t="s">
        <v>1855</v>
      </c>
      <c r="K42" s="2068" t="s">
        <v>1856</v>
      </c>
      <c r="L42" s="2068" t="s">
        <v>1857</v>
      </c>
      <c r="M42" s="2068" t="s">
        <v>1858</v>
      </c>
      <c r="N42" s="1791" t="s">
        <v>1859</v>
      </c>
      <c r="O42" s="1791" t="s">
        <v>1860</v>
      </c>
      <c r="P42" s="1791" t="s">
        <v>1861</v>
      </c>
      <c r="Q42" s="2067" t="s">
        <v>1862</v>
      </c>
      <c r="R42" s="2067" t="s">
        <v>1863</v>
      </c>
      <c r="S42" s="2025"/>
      <c r="T42" s="2025"/>
      <c r="U42" s="2025"/>
      <c r="V42" s="2025"/>
    </row>
    <row r="43" spans="1:22" s="2147" customFormat="1" ht="18" customHeight="1">
      <c r="A43" s="2143"/>
      <c r="B43" s="1270"/>
      <c r="C43" s="1270"/>
      <c r="D43" s="1270"/>
      <c r="E43" s="1270"/>
      <c r="F43" s="1270"/>
      <c r="G43" s="1270"/>
      <c r="H43" s="9"/>
      <c r="I43" s="9"/>
      <c r="J43" s="2144"/>
      <c r="K43" s="2145"/>
      <c r="L43" s="2145"/>
      <c r="M43" s="9"/>
      <c r="N43" s="1270"/>
      <c r="O43" s="9"/>
      <c r="P43" s="1270"/>
      <c r="Q43" s="1270"/>
      <c r="R43" s="1270"/>
      <c r="S43" s="2146"/>
      <c r="T43" s="2146"/>
      <c r="U43" s="2146"/>
      <c r="V43" s="2146"/>
    </row>
    <row r="44" spans="1:22" s="2147" customFormat="1" ht="18" customHeight="1">
      <c r="A44" s="2143"/>
      <c r="B44" s="2143"/>
      <c r="C44" s="1270"/>
      <c r="D44" s="1270"/>
      <c r="E44" s="1270"/>
      <c r="F44" s="1270"/>
      <c r="G44" s="1270"/>
      <c r="H44" s="9"/>
      <c r="I44" s="9"/>
      <c r="J44" s="2144"/>
      <c r="K44" s="2145"/>
      <c r="L44" s="2145"/>
      <c r="M44" s="9"/>
      <c r="N44" s="1270"/>
      <c r="O44" s="9"/>
      <c r="P44" s="1270"/>
      <c r="Q44" s="1270"/>
      <c r="R44" s="1270"/>
      <c r="S44" s="2146"/>
      <c r="T44" s="2146"/>
      <c r="U44" s="2146"/>
      <c r="V44" s="2146"/>
    </row>
    <row r="45" spans="1:22" s="2147" customFormat="1" ht="18" customHeight="1">
      <c r="A45" s="2143"/>
      <c r="B45" s="2143"/>
      <c r="C45" s="1270"/>
      <c r="D45" s="1270"/>
      <c r="E45" s="1270"/>
      <c r="F45" s="1270"/>
      <c r="G45" s="1270"/>
      <c r="H45" s="9"/>
      <c r="I45" s="9"/>
      <c r="J45" s="2144"/>
      <c r="K45" s="2145"/>
      <c r="L45" s="2145"/>
      <c r="M45" s="9"/>
      <c r="N45" s="1270"/>
      <c r="O45" s="9"/>
      <c r="P45" s="1270"/>
      <c r="Q45" s="1270"/>
      <c r="R45" s="1270"/>
      <c r="S45" s="2146"/>
      <c r="T45" s="2146"/>
      <c r="U45" s="2146"/>
      <c r="V45" s="2146"/>
    </row>
    <row r="46" spans="1:22" s="2147" customFormat="1" ht="18" customHeight="1">
      <c r="A46" s="2143"/>
      <c r="B46" s="2143"/>
      <c r="C46" s="1270"/>
      <c r="D46" s="1270"/>
      <c r="E46" s="1270"/>
      <c r="F46" s="1270"/>
      <c r="G46" s="1270"/>
      <c r="H46" s="9"/>
      <c r="I46" s="9"/>
      <c r="J46" s="2144"/>
      <c r="K46" s="2145"/>
      <c r="L46" s="2145"/>
      <c r="M46" s="9"/>
      <c r="N46" s="1270"/>
      <c r="O46" s="9"/>
      <c r="P46" s="1270"/>
      <c r="Q46" s="1270"/>
      <c r="R46" s="1270"/>
      <c r="S46" s="2146"/>
      <c r="T46" s="2146"/>
      <c r="U46" s="2146"/>
      <c r="V46" s="2146"/>
    </row>
    <row r="47" spans="1:22" s="2147" customFormat="1" ht="18" customHeight="1">
      <c r="A47" s="2143"/>
      <c r="B47" s="2143"/>
      <c r="C47" s="1270"/>
      <c r="D47" s="1270"/>
      <c r="E47" s="1270"/>
      <c r="F47" s="1270"/>
      <c r="G47" s="1270"/>
      <c r="H47" s="9"/>
      <c r="I47" s="9"/>
      <c r="J47" s="2144"/>
      <c r="K47" s="2145"/>
      <c r="L47" s="2145"/>
      <c r="M47" s="9"/>
      <c r="N47" s="1270"/>
      <c r="O47" s="9"/>
      <c r="P47" s="1270"/>
      <c r="Q47" s="1270"/>
      <c r="R47" s="1270"/>
      <c r="S47" s="2146"/>
      <c r="T47" s="2146"/>
      <c r="U47" s="2146"/>
      <c r="V47" s="2146"/>
    </row>
    <row r="48" spans="1:22" s="2147" customFormat="1" ht="18" customHeight="1">
      <c r="A48" s="2143"/>
      <c r="B48" s="2143"/>
      <c r="C48" s="1270"/>
      <c r="D48" s="1270"/>
      <c r="E48" s="1270"/>
      <c r="F48" s="1270"/>
      <c r="G48" s="1270"/>
      <c r="H48" s="9"/>
      <c r="I48" s="9"/>
      <c r="J48" s="2144"/>
      <c r="K48" s="2145"/>
      <c r="L48" s="2145"/>
      <c r="M48" s="9"/>
      <c r="N48" s="1270"/>
      <c r="O48" s="9"/>
      <c r="P48" s="1270"/>
      <c r="Q48" s="1270"/>
      <c r="R48" s="1270"/>
      <c r="S48" s="2146"/>
      <c r="T48" s="2146"/>
      <c r="U48" s="2146"/>
      <c r="V48" s="2146"/>
    </row>
    <row r="49" spans="1:22" s="2147" customFormat="1" ht="18" customHeight="1">
      <c r="A49" s="2143"/>
      <c r="B49" s="2143"/>
      <c r="C49" s="1270"/>
      <c r="D49" s="1270"/>
      <c r="E49" s="1270"/>
      <c r="F49" s="1270"/>
      <c r="G49" s="1270"/>
      <c r="H49" s="9"/>
      <c r="I49" s="9"/>
      <c r="J49" s="2144"/>
      <c r="K49" s="2145"/>
      <c r="L49" s="2145"/>
      <c r="M49" s="9"/>
      <c r="N49" s="1270"/>
      <c r="O49" s="9"/>
      <c r="P49" s="1270"/>
      <c r="Q49" s="1270"/>
      <c r="R49" s="1270"/>
      <c r="S49" s="2146"/>
      <c r="T49" s="2146"/>
      <c r="U49" s="2146"/>
      <c r="V49" s="2146"/>
    </row>
    <row r="50" spans="1:22" s="2147" customFormat="1" ht="18" customHeight="1">
      <c r="A50" s="2143"/>
      <c r="B50" s="2143"/>
      <c r="C50" s="1270"/>
      <c r="D50" s="1270"/>
      <c r="E50" s="1270"/>
      <c r="F50" s="1270"/>
      <c r="G50" s="1270"/>
      <c r="H50" s="9"/>
      <c r="I50" s="9"/>
      <c r="J50" s="2144"/>
      <c r="K50" s="2145"/>
      <c r="L50" s="2145"/>
      <c r="M50" s="9"/>
      <c r="N50" s="1270"/>
      <c r="O50" s="9"/>
      <c r="P50" s="1270"/>
      <c r="Q50" s="1270"/>
      <c r="R50" s="1270"/>
      <c r="S50" s="2146"/>
      <c r="T50" s="2146"/>
      <c r="U50" s="2146"/>
      <c r="V50" s="2146"/>
    </row>
    <row r="51" spans="1:22" s="2147" customFormat="1" ht="18" customHeight="1">
      <c r="A51" s="2143"/>
      <c r="B51" s="2143"/>
      <c r="C51" s="1270"/>
      <c r="D51" s="1270"/>
      <c r="E51" s="1270"/>
      <c r="F51" s="1270"/>
      <c r="G51" s="1270"/>
      <c r="H51" s="9"/>
      <c r="I51" s="9"/>
      <c r="J51" s="2144"/>
      <c r="K51" s="2145"/>
      <c r="L51" s="2145"/>
      <c r="M51" s="9"/>
      <c r="N51" s="1270"/>
      <c r="O51" s="9"/>
      <c r="P51" s="1270"/>
      <c r="Q51" s="1270"/>
      <c r="R51" s="1270"/>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H18" sqref="H17:AL18"/>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625" style="2149" customWidth="1"/>
    <col min="17" max="17" width="9.375" style="2149" customWidth="1"/>
    <col min="18" max="18" width="9.125" style="2149" customWidth="1"/>
    <col min="19" max="19" width="10.875" style="2149" customWidth="1"/>
    <col min="20" max="21" width="10.625" style="2149" customWidth="1"/>
    <col min="22" max="22" width="10.875" style="2149" customWidth="1"/>
    <col min="23" max="27" width="10.625" style="2149" customWidth="1"/>
    <col min="28" max="28" width="10.875" style="2149" customWidth="1"/>
    <col min="29" max="29" width="11" style="2149" bestFit="1" customWidth="1"/>
    <col min="30" max="30" width="10" style="2149" bestFit="1" customWidth="1"/>
    <col min="31" max="31" width="9.625" style="2149" customWidth="1"/>
    <col min="32" max="46" width="9.5" style="2149" customWidth="1"/>
    <col min="47" max="47" width="18.125" style="2149" customWidth="1"/>
    <col min="48" max="50" width="9.6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3"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7" customFormat="1" ht="24">
      <c r="A2" s="11" t="s">
        <v>1866</v>
      </c>
      <c r="B2" s="11" t="s">
        <v>1867</v>
      </c>
      <c r="C2" s="11" t="s">
        <v>1868</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7" t="s">
        <v>1869</v>
      </c>
      <c r="AZ2" s="1268" t="s">
        <v>1870</v>
      </c>
      <c r="BA2" s="11" t="s">
        <v>1871</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30136.12</v>
      </c>
      <c r="B3" s="14">
        <f>IF(C3="否",G5-AT5,G5)</f>
        <v>135929.18</v>
      </c>
      <c r="C3" s="2158" t="s">
        <v>1872</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9"/>
      <c r="AZ3" s="1270"/>
      <c r="BA3" s="1271"/>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1873</v>
      </c>
      <c r="B5" s="1799"/>
      <c r="C5" s="1799"/>
      <c r="D5" s="1802"/>
      <c r="E5" s="16" t="s">
        <v>1</v>
      </c>
      <c r="F5" s="16">
        <f>SUM(F13:F587)</f>
        <v>0</v>
      </c>
      <c r="G5" s="16">
        <f>SUM(G13:G587)</f>
        <v>143485.18</v>
      </c>
      <c r="H5" s="16">
        <f t="shared" ref="H5:AT5" si="0">SUM(H13:H656)</f>
        <v>131159.98000000001</v>
      </c>
      <c r="I5" s="16">
        <f t="shared" si="0"/>
        <v>90096.790000000008</v>
      </c>
      <c r="J5" s="16">
        <f t="shared" si="0"/>
        <v>0</v>
      </c>
      <c r="K5" s="16">
        <f t="shared" si="0"/>
        <v>10838.060000000001</v>
      </c>
      <c r="L5" s="16">
        <f t="shared" si="0"/>
        <v>0</v>
      </c>
      <c r="M5" s="16">
        <f>SUM(M13:M656)</f>
        <v>4990.1900000000005</v>
      </c>
      <c r="N5" s="16">
        <f t="shared" si="0"/>
        <v>0</v>
      </c>
      <c r="O5" s="16">
        <f t="shared" si="0"/>
        <v>25234.94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4769.1999999999825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2096.1999999999825</v>
      </c>
      <c r="AM5" s="16">
        <f t="shared" si="0"/>
        <v>0</v>
      </c>
      <c r="AN5" s="16">
        <f t="shared" si="0"/>
        <v>2673</v>
      </c>
      <c r="AO5" s="16">
        <f t="shared" si="0"/>
        <v>0</v>
      </c>
      <c r="AP5" s="16">
        <f t="shared" si="0"/>
        <v>0</v>
      </c>
      <c r="AQ5" s="16">
        <f t="shared" si="0"/>
        <v>0</v>
      </c>
      <c r="AR5" s="16">
        <f t="shared" si="0"/>
        <v>0</v>
      </c>
      <c r="AS5" s="16">
        <f t="shared" si="0"/>
        <v>0</v>
      </c>
      <c r="AT5" s="16">
        <f t="shared" si="0"/>
        <v>7556</v>
      </c>
      <c r="AU5" s="1798"/>
      <c r="AV5" s="15" t="s">
        <v>1873</v>
      </c>
      <c r="AW5" s="1799"/>
      <c r="AX5" s="1799"/>
      <c r="AY5" s="17" t="s">
        <v>3</v>
      </c>
      <c r="AZ5" s="18">
        <f t="shared" ref="AZ5:BT5" si="1">SUM(AZ13:AZ656)</f>
        <v>135929.18</v>
      </c>
      <c r="BA5" s="18">
        <f t="shared" si="1"/>
        <v>131159.98000000001</v>
      </c>
      <c r="BB5" s="18">
        <f t="shared" si="1"/>
        <v>90096.790000000008</v>
      </c>
      <c r="BC5" s="18">
        <f t="shared" si="1"/>
        <v>10838.060000000001</v>
      </c>
      <c r="BD5" s="18">
        <f t="shared" si="1"/>
        <v>4990.1900000000005</v>
      </c>
      <c r="BE5" s="18">
        <f t="shared" si="1"/>
        <v>25234.94</v>
      </c>
      <c r="BF5" s="18">
        <f t="shared" si="1"/>
        <v>0</v>
      </c>
      <c r="BG5" s="18">
        <f t="shared" si="1"/>
        <v>0</v>
      </c>
      <c r="BH5" s="18">
        <f t="shared" si="1"/>
        <v>0</v>
      </c>
      <c r="BI5" s="18">
        <f t="shared" si="1"/>
        <v>0</v>
      </c>
      <c r="BJ5" s="18">
        <f t="shared" si="1"/>
        <v>0</v>
      </c>
      <c r="BK5" s="18">
        <f t="shared" si="1"/>
        <v>0</v>
      </c>
      <c r="BL5" s="18">
        <f t="shared" si="1"/>
        <v>4769.1999999999825</v>
      </c>
      <c r="BM5" s="18">
        <f t="shared" si="1"/>
        <v>0</v>
      </c>
      <c r="BN5" s="18">
        <f t="shared" si="1"/>
        <v>0</v>
      </c>
      <c r="BO5" s="18">
        <f t="shared" si="1"/>
        <v>0</v>
      </c>
      <c r="BP5" s="18">
        <f t="shared" si="1"/>
        <v>0</v>
      </c>
      <c r="BQ5" s="18">
        <f t="shared" si="1"/>
        <v>2096.1999999999825</v>
      </c>
      <c r="BR5" s="18">
        <f t="shared" si="1"/>
        <v>2673</v>
      </c>
      <c r="BS5" s="18">
        <f t="shared" si="1"/>
        <v>0</v>
      </c>
      <c r="BT5" s="19">
        <f t="shared" si="1"/>
        <v>0</v>
      </c>
    </row>
    <row r="6" spans="1:72" s="2167" customFormat="1" ht="12.75">
      <c r="A6" s="15" t="s">
        <v>1874</v>
      </c>
      <c r="B6" s="2164"/>
      <c r="C6" s="2164"/>
      <c r="D6" s="2165"/>
      <c r="E6" s="16">
        <f>H6+AC6+AT6</f>
        <v>30136.129999999997</v>
      </c>
      <c r="F6" s="16" t="s">
        <v>1</v>
      </c>
      <c r="G6" s="16" t="s">
        <v>2</v>
      </c>
      <c r="H6" s="20">
        <f>SUMIF(I$12:AB$12,"总值",I6:AB6)</f>
        <v>29078.769999999997</v>
      </c>
      <c r="I6" s="16">
        <f t="shared" ref="I6:AB6" si="2">ROUND($A$3*I5/$B$3,2)</f>
        <v>19974.87</v>
      </c>
      <c r="J6" s="16">
        <f t="shared" si="2"/>
        <v>0</v>
      </c>
      <c r="K6" s="16">
        <f t="shared" si="2"/>
        <v>2402.85</v>
      </c>
      <c r="L6" s="16">
        <f t="shared" si="2"/>
        <v>0</v>
      </c>
      <c r="M6" s="16">
        <f t="shared" si="2"/>
        <v>1106.3499999999999</v>
      </c>
      <c r="N6" s="16">
        <f t="shared" si="2"/>
        <v>0</v>
      </c>
      <c r="O6" s="16">
        <f t="shared" si="2"/>
        <v>5594.7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1057.3600000000001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464.74</v>
      </c>
      <c r="AM6" s="16">
        <f t="shared" si="3"/>
        <v>0</v>
      </c>
      <c r="AN6" s="16">
        <f t="shared" si="3"/>
        <v>592.62</v>
      </c>
      <c r="AO6" s="16">
        <f t="shared" si="3"/>
        <v>0</v>
      </c>
      <c r="AP6" s="16">
        <f t="shared" si="3"/>
        <v>0</v>
      </c>
      <c r="AQ6" s="16">
        <f t="shared" si="3"/>
        <v>0</v>
      </c>
      <c r="AR6" s="16">
        <f t="shared" si="3"/>
        <v>0</v>
      </c>
      <c r="AS6" s="16">
        <f t="shared" si="3"/>
        <v>0</v>
      </c>
      <c r="AT6" s="20">
        <f>IF(C3="是",ROUND($A$3*AT5/$B$3,2),0)</f>
        <v>0</v>
      </c>
      <c r="AU6" s="2166"/>
      <c r="AV6" s="15" t="s">
        <v>1874</v>
      </c>
      <c r="AW6" s="2164"/>
      <c r="AX6" s="2164"/>
      <c r="AY6" s="21">
        <f>IF(AY3&gt;0,AY3,ROUND($A$3*AZ5/$B$3,2))</f>
        <v>30136.12</v>
      </c>
      <c r="AZ6" s="16" t="s">
        <v>3</v>
      </c>
      <c r="BA6" s="16">
        <f>ROUND($AY$6*BA5/$AZ$5,2)</f>
        <v>29078.77</v>
      </c>
      <c r="BB6" s="16">
        <f>ROUND($AY$6*BB5/$AZ$5,2)</f>
        <v>19974.87</v>
      </c>
      <c r="BC6" s="16">
        <f t="shared" ref="BC6:BH6" si="4">ROUND($AY$6*BC5/$AZ$5,2)</f>
        <v>2402.85</v>
      </c>
      <c r="BD6" s="16">
        <f t="shared" si="4"/>
        <v>1106.3499999999999</v>
      </c>
      <c r="BE6" s="16">
        <f t="shared" si="4"/>
        <v>5594.7</v>
      </c>
      <c r="BF6" s="16">
        <f t="shared" si="4"/>
        <v>0</v>
      </c>
      <c r="BG6" s="16">
        <f t="shared" si="4"/>
        <v>0</v>
      </c>
      <c r="BH6" s="16">
        <f t="shared" si="4"/>
        <v>0</v>
      </c>
      <c r="BI6" s="16">
        <f t="shared" ref="BI6:BT6" si="5">ROUND($AY$6*BI5/$AZ$5,2)</f>
        <v>0</v>
      </c>
      <c r="BJ6" s="16">
        <f t="shared" si="5"/>
        <v>0</v>
      </c>
      <c r="BK6" s="16">
        <f t="shared" si="5"/>
        <v>0</v>
      </c>
      <c r="BL6" s="16">
        <f t="shared" si="5"/>
        <v>1057.3499999999999</v>
      </c>
      <c r="BM6" s="16">
        <f t="shared" si="5"/>
        <v>0</v>
      </c>
      <c r="BN6" s="16">
        <f t="shared" si="5"/>
        <v>0</v>
      </c>
      <c r="BO6" s="16">
        <f t="shared" si="5"/>
        <v>0</v>
      </c>
      <c r="BP6" s="16">
        <f t="shared" si="5"/>
        <v>0</v>
      </c>
      <c r="BQ6" s="16">
        <f t="shared" si="5"/>
        <v>464.74</v>
      </c>
      <c r="BR6" s="16">
        <f t="shared" si="5"/>
        <v>592.62</v>
      </c>
      <c r="BS6" s="16">
        <f t="shared" si="5"/>
        <v>0</v>
      </c>
      <c r="BT6" s="22">
        <f t="shared" si="5"/>
        <v>0</v>
      </c>
    </row>
    <row r="7" spans="1:72" s="2157" customFormat="1" ht="24.75">
      <c r="A7" s="2102" t="s">
        <v>1875</v>
      </c>
      <c r="B7" s="2102" t="s">
        <v>1876</v>
      </c>
      <c r="C7" s="2102" t="s">
        <v>1877</v>
      </c>
      <c r="D7" s="2102" t="s">
        <v>1878</v>
      </c>
      <c r="E7" s="2102" t="s">
        <v>1879</v>
      </c>
      <c r="F7" s="2102" t="s">
        <v>1880</v>
      </c>
      <c r="G7" s="2168" t="s">
        <v>1881</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2"/>
      <c r="AU7" s="2169" t="s">
        <v>1882</v>
      </c>
      <c r="AV7" s="23" t="s">
        <v>1883</v>
      </c>
      <c r="AW7" s="2156" t="s">
        <v>1884</v>
      </c>
      <c r="AX7" s="23" t="s">
        <v>1877</v>
      </c>
      <c r="AY7" s="1799" t="s">
        <v>1885</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1886</v>
      </c>
      <c r="H8" s="2174" t="s">
        <v>1887</v>
      </c>
      <c r="I8" s="2175"/>
      <c r="J8" s="1814"/>
      <c r="K8" s="1814"/>
      <c r="L8" s="1814"/>
      <c r="M8" s="1814"/>
      <c r="N8" s="1814"/>
      <c r="O8" s="1814"/>
      <c r="P8" s="1814"/>
      <c r="Q8" s="1814"/>
      <c r="R8" s="1814"/>
      <c r="S8" s="1814"/>
      <c r="T8" s="1814"/>
      <c r="U8" s="1814"/>
      <c r="V8" s="2176"/>
      <c r="W8" s="1814"/>
      <c r="X8" s="1814"/>
      <c r="Y8" s="1814"/>
      <c r="Z8" s="1814"/>
      <c r="AA8" s="2176"/>
      <c r="AB8" s="2177"/>
      <c r="AC8" s="979" t="s">
        <v>1888</v>
      </c>
      <c r="AD8" s="2178"/>
      <c r="AE8" s="2170"/>
      <c r="AF8" s="1814"/>
      <c r="AG8" s="1814"/>
      <c r="AH8" s="1814"/>
      <c r="AI8" s="1814"/>
      <c r="AJ8" s="1814"/>
      <c r="AK8" s="1814"/>
      <c r="AL8" s="1814"/>
      <c r="AM8" s="1814"/>
      <c r="AN8" s="1814"/>
      <c r="AO8" s="1814"/>
      <c r="AP8" s="1814"/>
      <c r="AQ8" s="1814"/>
      <c r="AR8" s="1814"/>
      <c r="AS8" s="1814"/>
      <c r="AT8" s="1290" t="s">
        <v>1889</v>
      </c>
      <c r="AU8" s="2172" t="s">
        <v>1890</v>
      </c>
      <c r="AV8" s="1290"/>
      <c r="AW8" s="2155"/>
      <c r="AX8" s="1290"/>
      <c r="AY8" s="2156"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9" customFormat="1" ht="12.75">
      <c r="A9" s="2172"/>
      <c r="B9" s="2172"/>
      <c r="C9" s="2172"/>
      <c r="D9" s="2172"/>
      <c r="E9" s="2172"/>
      <c r="F9" s="2172"/>
      <c r="G9" s="1290"/>
      <c r="H9" s="2180" t="s">
        <v>1893</v>
      </c>
      <c r="I9" s="2181" t="s">
        <v>3071</v>
      </c>
      <c r="J9" s="979"/>
      <c r="K9" s="2181" t="s">
        <v>3071</v>
      </c>
      <c r="L9" s="979"/>
      <c r="M9" s="2181" t="s">
        <v>3071</v>
      </c>
      <c r="N9" s="979"/>
      <c r="O9" s="2181" t="s">
        <v>3075</v>
      </c>
      <c r="P9" s="979"/>
      <c r="Q9" s="2181"/>
      <c r="R9" s="979"/>
      <c r="S9" s="2181"/>
      <c r="T9" s="979"/>
      <c r="U9" s="2181"/>
      <c r="V9" s="979"/>
      <c r="W9" s="2181"/>
      <c r="X9" s="2182"/>
      <c r="Y9" s="2181"/>
      <c r="Z9" s="979"/>
      <c r="AA9" s="2181"/>
      <c r="AB9" s="979"/>
      <c r="AC9" s="2173"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3"/>
      <c r="AT9" s="2172"/>
      <c r="AU9" s="2172" t="s">
        <v>1896</v>
      </c>
      <c r="AV9" s="1290"/>
      <c r="AW9" s="2155"/>
      <c r="AX9" s="1290"/>
      <c r="AY9" s="28"/>
      <c r="AZ9" s="28" t="s">
        <v>1886</v>
      </c>
      <c r="BA9" s="2184" t="s">
        <v>1897</v>
      </c>
      <c r="BB9" s="2185"/>
      <c r="BC9" s="1336"/>
      <c r="BD9" s="1336"/>
      <c r="BE9" s="1336"/>
      <c r="BF9" s="1336"/>
      <c r="BG9" s="1336"/>
      <c r="BH9" s="1336"/>
      <c r="BI9" s="1336"/>
      <c r="BJ9" s="1336"/>
      <c r="BK9" s="2186"/>
      <c r="BL9" s="15" t="s">
        <v>1898</v>
      </c>
      <c r="BM9" s="1814"/>
      <c r="BN9" s="2175"/>
      <c r="BO9" s="1814"/>
      <c r="BP9" s="1814"/>
      <c r="BQ9" s="1814"/>
      <c r="BR9" s="1814"/>
      <c r="BS9" s="1814"/>
      <c r="BT9" s="26"/>
    </row>
    <row r="10" spans="1:72" s="2179" customFormat="1" ht="12.75">
      <c r="A10" s="2172"/>
      <c r="B10" s="2172"/>
      <c r="C10" s="2172"/>
      <c r="D10" s="2172"/>
      <c r="E10" s="2172"/>
      <c r="F10" s="2172"/>
      <c r="G10" s="1290"/>
      <c r="H10" s="28"/>
      <c r="I10" s="2181" t="s">
        <v>3072</v>
      </c>
      <c r="J10" s="979"/>
      <c r="K10" s="2187" t="s">
        <v>1377</v>
      </c>
      <c r="L10" s="979"/>
      <c r="M10" s="2187" t="s">
        <v>1377</v>
      </c>
      <c r="N10" s="979"/>
      <c r="O10" s="2187" t="s">
        <v>3076</v>
      </c>
      <c r="P10" s="979"/>
      <c r="Q10" s="2187"/>
      <c r="R10" s="979"/>
      <c r="S10" s="2187"/>
      <c r="T10" s="979"/>
      <c r="U10" s="2187"/>
      <c r="V10" s="979"/>
      <c r="W10" s="2187"/>
      <c r="X10" s="979"/>
      <c r="Y10" s="2187"/>
      <c r="Z10" s="979"/>
      <c r="AA10" s="2187"/>
      <c r="AB10" s="979"/>
      <c r="AC10" s="1290"/>
      <c r="AD10" s="15" t="s">
        <v>1899</v>
      </c>
      <c r="AE10" s="2188"/>
      <c r="AF10" s="15" t="s">
        <v>1899</v>
      </c>
      <c r="AG10" s="2188"/>
      <c r="AH10" s="15" t="s">
        <v>1900</v>
      </c>
      <c r="AI10" s="2188"/>
      <c r="AJ10" s="15" t="s">
        <v>1900</v>
      </c>
      <c r="AK10" s="2188"/>
      <c r="AL10" s="15" t="s">
        <v>1901</v>
      </c>
      <c r="AM10" s="1296"/>
      <c r="AN10" s="15" t="s">
        <v>1901</v>
      </c>
      <c r="AO10" s="1296"/>
      <c r="AP10" s="15" t="s">
        <v>1902</v>
      </c>
      <c r="AQ10" s="1296"/>
      <c r="AR10" s="15" t="s">
        <v>1902</v>
      </c>
      <c r="AS10" s="1296"/>
      <c r="AT10" s="2172"/>
      <c r="AU10" s="2172"/>
      <c r="AV10" s="1290"/>
      <c r="AW10" s="2155"/>
      <c r="AX10" s="1290"/>
      <c r="AY10" s="28"/>
      <c r="AZ10" s="28"/>
      <c r="BA10" s="2189" t="s">
        <v>1893</v>
      </c>
      <c r="BB10" s="2190"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1" t="str">
        <f>AR9</f>
        <v>地下</v>
      </c>
    </row>
    <row r="11" spans="1:72" s="2179" customFormat="1" ht="12.75">
      <c r="A11" s="2172"/>
      <c r="B11" s="2172"/>
      <c r="C11" s="2172"/>
      <c r="D11" s="2172"/>
      <c r="E11" s="2172"/>
      <c r="F11" s="2172"/>
      <c r="G11" s="1290"/>
      <c r="H11" s="2189"/>
      <c r="I11" s="2192"/>
      <c r="J11" s="2193"/>
      <c r="K11" s="2192" t="s">
        <v>3074</v>
      </c>
      <c r="L11" s="2193"/>
      <c r="M11" s="2192" t="s">
        <v>3073</v>
      </c>
      <c r="N11" s="2193"/>
      <c r="O11" s="2192"/>
      <c r="P11" s="2193"/>
      <c r="Q11" s="2192"/>
      <c r="R11" s="2193"/>
      <c r="S11" s="2192"/>
      <c r="T11" s="2193"/>
      <c r="U11" s="2192"/>
      <c r="V11" s="2193"/>
      <c r="W11" s="2192"/>
      <c r="X11" s="2193"/>
      <c r="Y11" s="2192"/>
      <c r="Z11" s="2193"/>
      <c r="AA11" s="2192"/>
      <c r="AB11" s="2193"/>
      <c r="AC11" s="1290"/>
      <c r="AD11" s="2194" t="s">
        <v>1903</v>
      </c>
      <c r="AE11" s="1815"/>
      <c r="AF11" s="2194" t="s">
        <v>1903</v>
      </c>
      <c r="AG11" s="1815"/>
      <c r="AH11" s="2194" t="s">
        <v>1904</v>
      </c>
      <c r="AI11" s="2195"/>
      <c r="AJ11" s="2194" t="s">
        <v>1904</v>
      </c>
      <c r="AK11" s="1815"/>
      <c r="AL11" s="1813"/>
      <c r="AM11" s="1815"/>
      <c r="AN11" s="1813"/>
      <c r="AO11" s="1815"/>
      <c r="AP11" s="1813"/>
      <c r="AQ11" s="1815"/>
      <c r="AR11" s="1813"/>
      <c r="AS11" s="1815"/>
      <c r="AT11" s="2155"/>
      <c r="AU11" s="2172"/>
      <c r="AV11" s="1290"/>
      <c r="AW11" s="2155"/>
      <c r="AX11" s="1290"/>
      <c r="AY11" s="28"/>
      <c r="AZ11" s="28"/>
      <c r="BA11" s="28"/>
      <c r="BB11" s="2177" t="str">
        <f>I10</f>
        <v>住宅</v>
      </c>
      <c r="BC11" s="2177" t="str">
        <f>K10</f>
        <v>商业</v>
      </c>
      <c r="BD11" s="2177" t="str">
        <f>M10</f>
        <v>商业</v>
      </c>
      <c r="BE11" s="2177" t="str">
        <f>O10</f>
        <v>车库</v>
      </c>
      <c r="BF11" s="2177">
        <f>Q10</f>
        <v>0</v>
      </c>
      <c r="BG11" s="2177">
        <f>S10</f>
        <v>0</v>
      </c>
      <c r="BH11" s="2177">
        <f>U10</f>
        <v>0</v>
      </c>
      <c r="BI11" s="2177">
        <f>W10</f>
        <v>0</v>
      </c>
      <c r="BJ11" s="2177">
        <f>Y10</f>
        <v>0</v>
      </c>
      <c r="BK11" s="2177">
        <f>AA10</f>
        <v>0</v>
      </c>
      <c r="BL11" s="1290"/>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199"/>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7" t="s">
        <v>1906</v>
      </c>
      <c r="AT12" s="2200"/>
      <c r="AU12" s="2197"/>
      <c r="AV12" s="31"/>
      <c r="AW12" s="2156"/>
      <c r="AX12" s="31"/>
      <c r="AY12" s="2201"/>
      <c r="AZ12" s="28"/>
      <c r="BA12" s="2189"/>
      <c r="BB12" s="24">
        <f>I11</f>
        <v>0</v>
      </c>
      <c r="BC12" s="2202" t="str">
        <f>K11</f>
        <v>独立商业</v>
      </c>
      <c r="BD12" s="2202" t="str">
        <f>M11</f>
        <v>底商</v>
      </c>
      <c r="BE12" s="2177">
        <f>O11</f>
        <v>0</v>
      </c>
      <c r="BF12" s="2177">
        <f>Q11</f>
        <v>0</v>
      </c>
      <c r="BG12" s="2177">
        <f>S11</f>
        <v>0</v>
      </c>
      <c r="BH12" s="2177">
        <f>U11</f>
        <v>0</v>
      </c>
      <c r="BI12" s="2177">
        <f>W11</f>
        <v>0</v>
      </c>
      <c r="BJ12" s="2177">
        <f>Y11</f>
        <v>0</v>
      </c>
      <c r="BK12" s="2177">
        <f>AA11</f>
        <v>0</v>
      </c>
      <c r="BL12" s="1290"/>
      <c r="BM12" s="1813" t="str">
        <f>AD11</f>
        <v>（住宅）</v>
      </c>
      <c r="BN12" s="1813" t="str">
        <f>AF11</f>
        <v>（住宅）</v>
      </c>
      <c r="BO12" s="24" t="str">
        <f>AH11</f>
        <v>（住宅、计出让金）</v>
      </c>
      <c r="BP12" s="24" t="str">
        <f>AJ11</f>
        <v>（住宅、计出让金）</v>
      </c>
      <c r="BQ12" s="24">
        <f>AL11</f>
        <v>0</v>
      </c>
      <c r="BR12" s="24">
        <f>AN11</f>
        <v>0</v>
      </c>
      <c r="BS12" s="25">
        <f>AP11</f>
        <v>0</v>
      </c>
      <c r="BT12" s="2196">
        <f>AR11</f>
        <v>0</v>
      </c>
    </row>
    <row r="13" spans="1:72" s="2157" customFormat="1" ht="12.75">
      <c r="A13" s="1270"/>
      <c r="B13" s="1270"/>
      <c r="C13" s="1270"/>
      <c r="D13" s="2203" t="s">
        <v>3053</v>
      </c>
      <c r="E13" s="16">
        <f>IF($C$3="是",ROUND($A$3*G13/$B$3,2),ROUND($A$3*(G13-AT13)/$B$3,2))</f>
        <v>28121.65</v>
      </c>
      <c r="F13" s="32"/>
      <c r="G13" s="33">
        <f>H13+AC13+AT13</f>
        <v>134398.9</v>
      </c>
      <c r="H13" s="20">
        <f>SUMIF(I$12:AB$12,"总值",I13:AB13)</f>
        <v>122073.70000000001</v>
      </c>
      <c r="I13" s="2204">
        <f>测绘!D17-测绘!D12</f>
        <v>81010.510000000009</v>
      </c>
      <c r="J13" s="2204"/>
      <c r="K13" s="2204">
        <f>测绘!E7+测绘!E13+测绘!E15+测绘!E16</f>
        <v>10838.060000000001</v>
      </c>
      <c r="L13" s="2204"/>
      <c r="M13" s="2204">
        <f>测绘!E14+测绘!E9+测绘!E8</f>
        <v>4990.1900000000005</v>
      </c>
      <c r="N13" s="2204"/>
      <c r="O13" s="2204">
        <f>测绘!B22</f>
        <v>25234.94</v>
      </c>
      <c r="P13" s="2204"/>
      <c r="Q13" s="2204"/>
      <c r="R13" s="2204"/>
      <c r="S13" s="2204"/>
      <c r="T13" s="2204"/>
      <c r="U13" s="2204"/>
      <c r="V13" s="2204"/>
      <c r="W13" s="2204"/>
      <c r="X13" s="2204"/>
      <c r="Y13" s="2204"/>
      <c r="Z13" s="2204"/>
      <c r="AA13" s="2204"/>
      <c r="AB13" s="2204"/>
      <c r="AC13" s="16">
        <f>SUMIF(AD$12:AS$12,"总值",AD13:AS13)</f>
        <v>4769.1999999999825</v>
      </c>
      <c r="AD13" s="2205"/>
      <c r="AE13" s="2205"/>
      <c r="AF13" s="2205"/>
      <c r="AG13" s="2205"/>
      <c r="AH13" s="2205"/>
      <c r="AI13" s="2205"/>
      <c r="AJ13" s="2205"/>
      <c r="AK13" s="2205"/>
      <c r="AL13" s="2205">
        <f>测绘!H17-测绘!D17-测绘!E17</f>
        <v>2096.1999999999825</v>
      </c>
      <c r="AM13" s="2205"/>
      <c r="AN13" s="2205">
        <f>测绘!B20</f>
        <v>2673</v>
      </c>
      <c r="AO13" s="2205"/>
      <c r="AP13" s="2205"/>
      <c r="AQ13" s="2205"/>
      <c r="AR13" s="2205"/>
      <c r="AS13" s="2205"/>
      <c r="AT13" s="2206">
        <f>测绘!B21</f>
        <v>7556</v>
      </c>
      <c r="AU13" s="2207"/>
      <c r="AV13" s="11">
        <f t="shared" ref="AV13:AX17" si="6">A13</f>
        <v>0</v>
      </c>
      <c r="AW13" s="11">
        <f t="shared" si="6"/>
        <v>0</v>
      </c>
      <c r="AX13" s="11">
        <f t="shared" si="6"/>
        <v>0</v>
      </c>
      <c r="AY13" s="1802">
        <f>ROUND($AY$6*AZ13/$AZ$5,2)</f>
        <v>28121.65</v>
      </c>
      <c r="AZ13" s="16">
        <f>BA13+BL13</f>
        <v>126842.9</v>
      </c>
      <c r="BA13" s="16">
        <f>SUM(BB13:BK13)</f>
        <v>122073.70000000001</v>
      </c>
      <c r="BB13" s="16">
        <f>IF($D13="是",I13-J13,0)</f>
        <v>81010.510000000009</v>
      </c>
      <c r="BC13" s="16">
        <f>IF($D13="是",K13-L13,0)</f>
        <v>10838.060000000001</v>
      </c>
      <c r="BD13" s="16">
        <f>IF($D13="是",M13-N13,0)</f>
        <v>4990.1900000000005</v>
      </c>
      <c r="BE13" s="16">
        <f>IF($D13="是",O13-P13,0)</f>
        <v>25234.94</v>
      </c>
      <c r="BF13" s="16">
        <f>IF($D13="是",Q13-R13,0)</f>
        <v>0</v>
      </c>
      <c r="BG13" s="16">
        <f>IF($D13="是",S13-T13,0)</f>
        <v>0</v>
      </c>
      <c r="BH13" s="16">
        <f>IF($D13="是",U13-V13,0)</f>
        <v>0</v>
      </c>
      <c r="BI13" s="16">
        <f>IF($D13="是",W13-X13,0)</f>
        <v>0</v>
      </c>
      <c r="BJ13" s="16">
        <f>IF($D13="是",Y13-Z13,0)</f>
        <v>0</v>
      </c>
      <c r="BK13" s="16">
        <f>IF($D13="是",AA13-AB13,0)</f>
        <v>0</v>
      </c>
      <c r="BL13" s="16">
        <f>SUM(BM13:BT13)</f>
        <v>4769.1999999999825</v>
      </c>
      <c r="BM13" s="16">
        <f>IF($D13="是",AD13-AE13,0)</f>
        <v>0</v>
      </c>
      <c r="BN13" s="16">
        <f>IF($D13="是",AF13-AG13,0)</f>
        <v>0</v>
      </c>
      <c r="BO13" s="16">
        <f>IF($D13="是",AH13-AI13,0)</f>
        <v>0</v>
      </c>
      <c r="BP13" s="16">
        <f>IF($D13="是",AJ13-AK13,0)</f>
        <v>0</v>
      </c>
      <c r="BQ13" s="16">
        <f>IF($D13="是",AL13-AM13,0)</f>
        <v>2096.1999999999825</v>
      </c>
      <c r="BR13" s="16">
        <f>IF($D13="是",AN13-AO13,0)</f>
        <v>2673</v>
      </c>
      <c r="BS13" s="16">
        <f>IF($D13="是",AP13-AQ13,0)</f>
        <v>0</v>
      </c>
      <c r="BT13" s="22">
        <f>IF($D13="是",AR13-AS13,0)</f>
        <v>0</v>
      </c>
    </row>
    <row r="14" spans="1:72" s="2157" customFormat="1" ht="12.75">
      <c r="A14" s="1270"/>
      <c r="B14" s="1270"/>
      <c r="C14" s="2143"/>
      <c r="D14" s="2203" t="s">
        <v>3053</v>
      </c>
      <c r="E14" s="16">
        <f>IF($C$3="是",ROUND($A$3*G14/$B$3,2),ROUND($A$3*(G14-AT14)/$B$3,2))</f>
        <v>2014.47</v>
      </c>
      <c r="F14" s="32"/>
      <c r="G14" s="33">
        <f>H14+AC14+AT14</f>
        <v>9086.2800000000007</v>
      </c>
      <c r="H14" s="20">
        <f>SUMIF(I$12:AB$12,"总值",I14:AB14)</f>
        <v>9086.2800000000007</v>
      </c>
      <c r="I14" s="2204">
        <f>测绘!D12</f>
        <v>9086.2800000000007</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2">
        <f>ROUND($AY$6*AZ14/$AZ$5,2)</f>
        <v>2014.47</v>
      </c>
      <c r="AZ14" s="16">
        <f>BA14+BL14</f>
        <v>9086.2800000000007</v>
      </c>
      <c r="BA14" s="16">
        <f>SUM(BB14:BK14)</f>
        <v>9086.2800000000007</v>
      </c>
      <c r="BB14" s="16">
        <f>IF($D14="是",I14-J14,0)</f>
        <v>9086.2800000000007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0"/>
      <c r="B15" s="1270"/>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0"/>
      <c r="B16" s="1270"/>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0"/>
      <c r="B17" s="1270"/>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2:M25"/>
  <sheetViews>
    <sheetView zoomScale="90" zoomScaleNormal="90" workbookViewId="0">
      <selection activeCell="D30" sqref="D30"/>
    </sheetView>
  </sheetViews>
  <sheetFormatPr defaultColWidth="11" defaultRowHeight="13.5"/>
  <cols>
    <col min="1" max="4" width="12.875" style="2975" customWidth="1"/>
    <col min="5" max="5" width="21.75" style="2975" bestFit="1" customWidth="1"/>
    <col min="6" max="9" width="12.875" style="2975" customWidth="1"/>
    <col min="10" max="13" width="10.875" style="2972"/>
  </cols>
  <sheetData>
    <row r="2" spans="1:13" ht="30.95" customHeight="1">
      <c r="B2" s="3065" t="s">
        <v>3445</v>
      </c>
      <c r="C2" s="3065"/>
      <c r="D2" s="3065"/>
      <c r="E2" s="3065"/>
      <c r="F2" s="3065"/>
      <c r="G2" s="3065"/>
      <c r="H2" s="2975" t="s">
        <v>3449</v>
      </c>
      <c r="I2" s="3066" t="s">
        <v>3454</v>
      </c>
    </row>
    <row r="3" spans="1:13" ht="30" customHeight="1">
      <c r="B3" s="2975" t="s">
        <v>3414</v>
      </c>
      <c r="C3" s="2975" t="s">
        <v>3415</v>
      </c>
      <c r="D3" s="2975" t="s">
        <v>3416</v>
      </c>
      <c r="E3" s="2975" t="s">
        <v>3417</v>
      </c>
      <c r="F3" s="2975" t="s">
        <v>3419</v>
      </c>
      <c r="G3" s="2975" t="s">
        <v>3455</v>
      </c>
      <c r="H3" s="2975" t="s">
        <v>3418</v>
      </c>
      <c r="I3" s="3066"/>
    </row>
    <row r="4" spans="1:13" ht="30" customHeight="1">
      <c r="A4" s="3065" t="s">
        <v>3426</v>
      </c>
      <c r="B4" s="2975" t="s">
        <v>3420</v>
      </c>
      <c r="C4" s="2975">
        <v>62466.93</v>
      </c>
      <c r="E4" s="2975">
        <v>26839.82</v>
      </c>
      <c r="G4" s="2975">
        <f>SUM(C4:F4)</f>
        <v>89306.75</v>
      </c>
      <c r="I4" s="2975">
        <f>G4+H4</f>
        <v>89306.75</v>
      </c>
    </row>
    <row r="5" spans="1:13" ht="30" customHeight="1">
      <c r="A5" s="3065"/>
      <c r="B5" s="2975" t="s">
        <v>3421</v>
      </c>
      <c r="C5" s="2975">
        <v>1503.29</v>
      </c>
      <c r="D5" s="2975">
        <v>9573.61</v>
      </c>
      <c r="E5" s="2975">
        <v>4614.1099999999997</v>
      </c>
      <c r="G5" s="2975">
        <f t="shared" ref="G5:G14" si="0">SUM(C5:F5)</f>
        <v>15691.010000000002</v>
      </c>
      <c r="I5" s="2975">
        <f t="shared" ref="I5:I14" si="1">G5+H5</f>
        <v>15691.010000000002</v>
      </c>
    </row>
    <row r="6" spans="1:13" ht="30" customHeight="1">
      <c r="A6" s="3065"/>
      <c r="B6" s="2975" t="s">
        <v>3425</v>
      </c>
      <c r="E6" s="2975">
        <v>345.72</v>
      </c>
      <c r="G6" s="2975">
        <f t="shared" si="0"/>
        <v>345.72</v>
      </c>
      <c r="I6" s="2975">
        <f t="shared" si="1"/>
        <v>345.72</v>
      </c>
    </row>
    <row r="7" spans="1:13" s="2974" customFormat="1" ht="30" customHeight="1">
      <c r="A7" s="3065"/>
      <c r="B7" s="2976" t="s">
        <v>3451</v>
      </c>
      <c r="C7" s="2976">
        <f>SUM(C4:C6)</f>
        <v>63970.22</v>
      </c>
      <c r="D7" s="2976">
        <f t="shared" ref="D7:H7" si="2">SUM(D4:D6)</f>
        <v>9573.61</v>
      </c>
      <c r="E7" s="2976">
        <f t="shared" si="2"/>
        <v>31799.65</v>
      </c>
      <c r="F7" s="2976">
        <f>SUM(F4:F6)</f>
        <v>0</v>
      </c>
      <c r="G7" s="2976">
        <f t="shared" si="0"/>
        <v>105343.48000000001</v>
      </c>
      <c r="H7" s="2976">
        <f t="shared" si="2"/>
        <v>0</v>
      </c>
      <c r="I7" s="2976">
        <f t="shared" si="1"/>
        <v>105343.48000000001</v>
      </c>
      <c r="J7" s="2973"/>
      <c r="K7" s="2973"/>
      <c r="L7" s="2973"/>
      <c r="M7" s="2973"/>
    </row>
    <row r="8" spans="1:13" ht="30" customHeight="1">
      <c r="A8" s="3065" t="s">
        <v>3422</v>
      </c>
      <c r="B8" s="2975" t="s">
        <v>3423</v>
      </c>
      <c r="C8" s="2975">
        <v>1487.6</v>
      </c>
      <c r="E8" s="2975">
        <v>375.29</v>
      </c>
      <c r="G8" s="2975">
        <f t="shared" si="0"/>
        <v>1862.8899999999999</v>
      </c>
      <c r="I8" s="2975">
        <f t="shared" si="1"/>
        <v>1862.8899999999999</v>
      </c>
    </row>
    <row r="9" spans="1:13" ht="30" customHeight="1">
      <c r="A9" s="3065"/>
      <c r="B9" s="2975" t="s">
        <v>3424</v>
      </c>
      <c r="C9" s="2975">
        <v>354.57</v>
      </c>
      <c r="E9" s="2975">
        <v>142.69999999999999</v>
      </c>
      <c r="G9" s="2975">
        <f t="shared" si="0"/>
        <v>497.27</v>
      </c>
      <c r="I9" s="2975">
        <f t="shared" si="1"/>
        <v>497.27</v>
      </c>
    </row>
    <row r="10" spans="1:13" ht="30" customHeight="1">
      <c r="A10" s="3065"/>
      <c r="B10" s="2975" t="s">
        <v>3453</v>
      </c>
      <c r="G10" s="2975">
        <f t="shared" si="0"/>
        <v>0</v>
      </c>
      <c r="H10" s="2975">
        <v>34301.279999999999</v>
      </c>
      <c r="I10" s="2975">
        <f t="shared" si="1"/>
        <v>34301.279999999999</v>
      </c>
    </row>
    <row r="11" spans="1:13" ht="30" customHeight="1">
      <c r="A11" s="3065"/>
      <c r="B11" s="2975" t="s">
        <v>3419</v>
      </c>
      <c r="F11" s="2975">
        <v>44.9</v>
      </c>
      <c r="G11" s="2975">
        <f t="shared" si="0"/>
        <v>44.9</v>
      </c>
      <c r="I11" s="2975">
        <f t="shared" si="1"/>
        <v>44.9</v>
      </c>
    </row>
    <row r="12" spans="1:13" ht="30" customHeight="1">
      <c r="A12" s="3065"/>
      <c r="B12" s="2975" t="s">
        <v>3456</v>
      </c>
      <c r="G12" s="2975">
        <f t="shared" si="0"/>
        <v>0</v>
      </c>
      <c r="H12" s="2978"/>
      <c r="I12" s="2975">
        <f t="shared" si="1"/>
        <v>0</v>
      </c>
    </row>
    <row r="13" spans="1:13" s="2974" customFormat="1" ht="30" customHeight="1">
      <c r="A13" s="3065"/>
      <c r="B13" s="2976" t="s">
        <v>3451</v>
      </c>
      <c r="C13" s="2976">
        <f>SUM(C8:C12)</f>
        <v>1842.1699999999998</v>
      </c>
      <c r="D13" s="2976">
        <f t="shared" ref="D13:F13" si="3">SUM(D8:D12)</f>
        <v>0</v>
      </c>
      <c r="E13" s="2976">
        <f t="shared" si="3"/>
        <v>517.99</v>
      </c>
      <c r="F13" s="2976">
        <f t="shared" si="3"/>
        <v>44.9</v>
      </c>
      <c r="G13" s="2976">
        <f t="shared" si="0"/>
        <v>2405.06</v>
      </c>
      <c r="H13" s="2976">
        <f>SUM(H8:H12)</f>
        <v>34301.279999999999</v>
      </c>
      <c r="I13" s="2976">
        <f t="shared" si="1"/>
        <v>36706.339999999997</v>
      </c>
      <c r="J13" s="2973"/>
      <c r="K13" s="2973"/>
      <c r="L13" s="2973"/>
      <c r="M13" s="2973"/>
    </row>
    <row r="14" spans="1:13" s="2974" customFormat="1" ht="30" customHeight="1">
      <c r="A14" s="2976" t="s">
        <v>3452</v>
      </c>
      <c r="B14" s="2976"/>
      <c r="C14" s="2977">
        <f>C7+C13</f>
        <v>65812.39</v>
      </c>
      <c r="D14" s="2976">
        <f t="shared" ref="D14:H14" si="4">D7+D13</f>
        <v>9573.61</v>
      </c>
      <c r="E14" s="2976">
        <f t="shared" si="4"/>
        <v>32317.640000000003</v>
      </c>
      <c r="F14" s="2976">
        <f>F7+F13</f>
        <v>44.9</v>
      </c>
      <c r="G14" s="2977">
        <f t="shared" si="0"/>
        <v>107748.54</v>
      </c>
      <c r="H14" s="2976">
        <f t="shared" si="4"/>
        <v>34301.279999999999</v>
      </c>
      <c r="I14" s="2976">
        <f t="shared" si="1"/>
        <v>142049.82</v>
      </c>
      <c r="J14" s="2973"/>
      <c r="K14" s="2973"/>
      <c r="L14" s="2973"/>
      <c r="M14" s="2973"/>
    </row>
    <row r="17" spans="5:9">
      <c r="E17" s="2983" t="s">
        <v>3485</v>
      </c>
      <c r="F17" s="2983">
        <v>359.44</v>
      </c>
      <c r="G17" s="2983"/>
    </row>
    <row r="18" spans="5:9">
      <c r="E18" s="2983" t="s">
        <v>3484</v>
      </c>
      <c r="F18" s="2983">
        <v>124.13</v>
      </c>
      <c r="G18" s="2983">
        <f>SUM(F17:F18)</f>
        <v>483.57</v>
      </c>
    </row>
    <row r="19" spans="5:9">
      <c r="E19" s="2983" t="s">
        <v>3481</v>
      </c>
      <c r="F19" s="2983">
        <v>670</v>
      </c>
      <c r="G19" s="2983"/>
    </row>
    <row r="20" spans="5:9">
      <c r="E20" s="2983" t="s">
        <v>3482</v>
      </c>
      <c r="F20" s="2983">
        <v>142533.39000000001</v>
      </c>
      <c r="G20" s="2983">
        <f>G18+I14</f>
        <v>142533.39000000001</v>
      </c>
    </row>
    <row r="21" spans="5:9">
      <c r="E21" s="2983" t="s">
        <v>3483</v>
      </c>
      <c r="F21" s="2983">
        <v>105467.61</v>
      </c>
      <c r="G21" s="2983"/>
    </row>
    <row r="25" spans="5:9">
      <c r="I25" s="2987"/>
    </row>
  </sheetData>
  <mergeCells count="4">
    <mergeCell ref="A4:A7"/>
    <mergeCell ref="A8:A13"/>
    <mergeCell ref="B2:G2"/>
    <mergeCell ref="I2:I3"/>
  </mergeCells>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C23"/>
  <sheetViews>
    <sheetView zoomScaleNormal="100" workbookViewId="0">
      <selection activeCell="B12" sqref="B12:C12"/>
    </sheetView>
  </sheetViews>
  <sheetFormatPr defaultColWidth="11" defaultRowHeight="16.5"/>
  <cols>
    <col min="1" max="1" width="12.875" style="3322" customWidth="1"/>
    <col min="2" max="2" width="10.125" style="3323" customWidth="1"/>
    <col min="3" max="7" width="10.875" style="3323"/>
    <col min="8" max="8" width="10.875" style="3371"/>
    <col min="9" max="9" width="10.875" style="3323"/>
    <col min="10" max="10" width="10.875" style="3371"/>
    <col min="11" max="11" width="10.875" style="3329"/>
    <col min="12" max="12" width="13.375" style="3372" customWidth="1"/>
    <col min="13" max="13" width="10.875" style="3323"/>
    <col min="14" max="17" width="7.5" style="3323" customWidth="1"/>
    <col min="18" max="21" width="11" style="3326"/>
    <col min="22" max="23" width="10.875" style="3327"/>
    <col min="24" max="27" width="11" style="3326"/>
  </cols>
  <sheetData>
    <row r="1" spans="1:27">
      <c r="H1" s="3324"/>
      <c r="I1" s="3324"/>
      <c r="J1" s="3324"/>
      <c r="K1" s="3325"/>
      <c r="L1" s="3325"/>
      <c r="M1" s="3324"/>
      <c r="N1" s="3324"/>
    </row>
    <row r="2" spans="1:27" ht="36" customHeight="1">
      <c r="A2" s="3328" t="s">
        <v>3467</v>
      </c>
      <c r="B2" s="3329">
        <v>105485.8</v>
      </c>
      <c r="C2" s="3329"/>
      <c r="H2" s="3324"/>
      <c r="I2" s="3324"/>
      <c r="J2" s="3324"/>
      <c r="K2" s="3325"/>
      <c r="L2" s="3325"/>
      <c r="M2" s="3324"/>
      <c r="N2" s="3324"/>
    </row>
    <row r="3" spans="1:27" ht="36" customHeight="1" thickBot="1">
      <c r="A3" s="3328" t="s">
        <v>3468</v>
      </c>
      <c r="B3" s="3329">
        <f>D17+E17+231.24</f>
        <v>106156.28000000001</v>
      </c>
      <c r="C3" s="3329"/>
      <c r="H3" s="3324"/>
      <c r="I3" s="3324"/>
      <c r="J3" s="3324"/>
      <c r="K3" s="3325"/>
      <c r="L3" s="3325"/>
      <c r="M3" s="3324"/>
      <c r="N3" s="3324"/>
    </row>
    <row r="4" spans="1:27" s="2979" customFormat="1" ht="36" customHeight="1">
      <c r="A4" s="3328"/>
      <c r="B4" s="3330"/>
      <c r="C4" s="3331"/>
      <c r="D4" s="3332" t="s">
        <v>3445</v>
      </c>
      <c r="E4" s="3333"/>
      <c r="F4" s="3333"/>
      <c r="G4" s="3333"/>
      <c r="H4" s="3334"/>
      <c r="I4" s="3333" t="s">
        <v>3471</v>
      </c>
      <c r="J4" s="3334"/>
      <c r="K4" s="3335" t="s">
        <v>3444</v>
      </c>
      <c r="L4" s="3336" t="s">
        <v>3446</v>
      </c>
      <c r="M4" s="3337"/>
      <c r="N4" s="3338" t="s">
        <v>3450</v>
      </c>
      <c r="O4" s="3339"/>
      <c r="P4" s="3338" t="s">
        <v>3448</v>
      </c>
      <c r="Q4" s="3339"/>
      <c r="R4" s="3340" t="s">
        <v>3457</v>
      </c>
      <c r="S4" s="3340"/>
      <c r="T4" s="3340"/>
      <c r="U4" s="3340"/>
      <c r="V4" s="3341"/>
      <c r="W4" s="3341"/>
      <c r="X4" s="3340"/>
      <c r="Y4" s="3340"/>
      <c r="Z4" s="3340"/>
      <c r="AA4" s="3340"/>
    </row>
    <row r="5" spans="1:27" s="2979" customFormat="1" ht="36" customHeight="1">
      <c r="A5" s="3328"/>
      <c r="B5" s="3342"/>
      <c r="C5" s="3343"/>
      <c r="D5" s="3344" t="s">
        <v>3420</v>
      </c>
      <c r="E5" s="3344" t="s">
        <v>3440</v>
      </c>
      <c r="F5" s="3344" t="s">
        <v>3441</v>
      </c>
      <c r="G5" s="3344" t="s">
        <v>3464</v>
      </c>
      <c r="H5" s="3345" t="s">
        <v>3465</v>
      </c>
      <c r="I5" s="3346" t="s">
        <v>3442</v>
      </c>
      <c r="J5" s="3347" t="s">
        <v>3466</v>
      </c>
      <c r="K5" s="3348"/>
      <c r="L5" s="3349"/>
      <c r="M5" s="3350"/>
      <c r="N5" s="3351" t="s">
        <v>3443</v>
      </c>
      <c r="O5" s="3352" t="s">
        <v>3469</v>
      </c>
      <c r="P5" s="3351" t="s">
        <v>3445</v>
      </c>
      <c r="Q5" s="3353" t="s">
        <v>3449</v>
      </c>
      <c r="R5" s="3354" t="s">
        <v>3458</v>
      </c>
      <c r="S5" s="3354" t="s">
        <v>3459</v>
      </c>
      <c r="T5" s="3340"/>
      <c r="U5" s="3340"/>
      <c r="V5" s="3341"/>
      <c r="W5" s="3341"/>
      <c r="X5" s="3340"/>
      <c r="Y5" s="3340"/>
      <c r="Z5" s="3340"/>
      <c r="AA5" s="3340"/>
    </row>
    <row r="6" spans="1:27" s="2971" customFormat="1" ht="36" customHeight="1">
      <c r="A6" s="3355"/>
      <c r="B6" s="3356" t="s">
        <v>3429</v>
      </c>
      <c r="C6" s="3357" t="s">
        <v>3473</v>
      </c>
      <c r="D6" s="3358">
        <v>19254.099999999999</v>
      </c>
      <c r="E6" s="3358">
        <v>0</v>
      </c>
      <c r="F6" s="3358">
        <f>41.26+383.28+10.92</f>
        <v>435.46</v>
      </c>
      <c r="G6" s="3358">
        <f>SUM(D6:F6)</f>
        <v>19689.559999999998</v>
      </c>
      <c r="H6" s="3359">
        <v>19689.82</v>
      </c>
      <c r="I6" s="3358">
        <v>610.4</v>
      </c>
      <c r="J6" s="3359">
        <v>610.4</v>
      </c>
      <c r="K6" s="3360">
        <f>G6+I6</f>
        <v>20299.96</v>
      </c>
      <c r="L6" s="3345">
        <f>H6+J6</f>
        <v>20300.22</v>
      </c>
      <c r="M6" s="3361" t="str">
        <f>IF(K6=L6,"相同","有误差")</f>
        <v>有误差</v>
      </c>
      <c r="N6" s="3356">
        <v>32</v>
      </c>
      <c r="O6" s="3362">
        <v>2</v>
      </c>
      <c r="P6" s="3356">
        <v>19</v>
      </c>
      <c r="Q6" s="3361">
        <v>2</v>
      </c>
      <c r="R6" s="3363"/>
      <c r="S6" s="3363"/>
      <c r="T6" s="3363">
        <f>N6+IF(O6=0,0,(O6+1)*2)</f>
        <v>38</v>
      </c>
      <c r="U6" s="3363">
        <f>P6+IF(Q6=0,0,(Q6+1)*2)</f>
        <v>25</v>
      </c>
      <c r="V6" s="3364">
        <f>ROUND(U6/T6,4)</f>
        <v>0.65790000000000004</v>
      </c>
      <c r="W6" s="3364">
        <f>ROUND(V6*0.6,4)</f>
        <v>0.3947</v>
      </c>
      <c r="X6" s="3363">
        <f>W6*H6</f>
        <v>7771.571954</v>
      </c>
      <c r="Y6" s="3363"/>
      <c r="Z6" s="3363"/>
      <c r="AA6" s="3363"/>
    </row>
    <row r="7" spans="1:27" s="2971" customFormat="1" ht="36" customHeight="1">
      <c r="A7" s="3355" t="s">
        <v>3460</v>
      </c>
      <c r="B7" s="3356" t="s">
        <v>3430</v>
      </c>
      <c r="C7" s="3357" t="s">
        <v>3474</v>
      </c>
      <c r="D7" s="3358">
        <v>0</v>
      </c>
      <c r="E7" s="3358">
        <v>3417.64</v>
      </c>
      <c r="F7" s="3358">
        <v>0</v>
      </c>
      <c r="G7" s="3358">
        <f t="shared" ref="G7:G16" si="0">SUM(D7:F7)</f>
        <v>3417.64</v>
      </c>
      <c r="H7" s="3359">
        <v>3417.63</v>
      </c>
      <c r="I7" s="3358">
        <v>0</v>
      </c>
      <c r="J7" s="3359">
        <v>0</v>
      </c>
      <c r="K7" s="3360">
        <f t="shared" ref="K7:K16" si="1">G7+I7</f>
        <v>3417.64</v>
      </c>
      <c r="L7" s="3345">
        <f t="shared" ref="L7:L16" si="2">H7+J7</f>
        <v>3417.63</v>
      </c>
      <c r="M7" s="3361" t="str">
        <f t="shared" ref="M7:M16" si="3">IF(K7=L7,"相同","有误差")</f>
        <v>有误差</v>
      </c>
      <c r="N7" s="3356">
        <v>4</v>
      </c>
      <c r="O7" s="3362">
        <v>2</v>
      </c>
      <c r="P7" s="3356">
        <v>0</v>
      </c>
      <c r="Q7" s="3361">
        <v>2</v>
      </c>
      <c r="R7" s="3363"/>
      <c r="S7" s="3363"/>
      <c r="T7" s="3363">
        <f t="shared" ref="T7:T16" si="4">N7+IF(O7=0,0,(O7+1)*2)</f>
        <v>10</v>
      </c>
      <c r="U7" s="3363">
        <f t="shared" ref="U7:U16" si="5">P7+IF(Q7=0,0,(Q7+1)*2)</f>
        <v>6</v>
      </c>
      <c r="V7" s="3364">
        <f t="shared" ref="V7:V16" si="6">ROUND(U7/T7,4)</f>
        <v>0.6</v>
      </c>
      <c r="W7" s="3364">
        <f t="shared" ref="W7:W16" si="7">ROUND(V7*0.6,4)</f>
        <v>0.36</v>
      </c>
      <c r="X7" s="3363">
        <f t="shared" ref="X7:X16" si="8">W7*H7</f>
        <v>1230.3468</v>
      </c>
      <c r="Y7" s="3363"/>
      <c r="Z7" s="3363"/>
      <c r="AA7" s="3363"/>
    </row>
    <row r="8" spans="1:27" s="2971" customFormat="1" ht="36" customHeight="1">
      <c r="A8" s="3355"/>
      <c r="B8" s="3356" t="s">
        <v>3431</v>
      </c>
      <c r="C8" s="3357" t="s">
        <v>3473</v>
      </c>
      <c r="D8" s="3358">
        <v>13287.67</v>
      </c>
      <c r="E8" s="3358">
        <v>2401.71</v>
      </c>
      <c r="F8" s="3358">
        <f>22.64+57.26+134.57</f>
        <v>214.47</v>
      </c>
      <c r="G8" s="3358">
        <f t="shared" si="0"/>
        <v>15903.85</v>
      </c>
      <c r="H8" s="3359">
        <v>15903.91</v>
      </c>
      <c r="I8" s="3358">
        <v>489.17</v>
      </c>
      <c r="J8" s="3359">
        <v>489.17</v>
      </c>
      <c r="K8" s="3360">
        <f t="shared" si="1"/>
        <v>16393.02</v>
      </c>
      <c r="L8" s="3345">
        <f t="shared" si="2"/>
        <v>16393.079999999998</v>
      </c>
      <c r="M8" s="3361" t="str">
        <f t="shared" si="3"/>
        <v>有误差</v>
      </c>
      <c r="N8" s="3356">
        <v>28</v>
      </c>
      <c r="O8" s="3362">
        <v>2</v>
      </c>
      <c r="P8" s="3356">
        <v>12</v>
      </c>
      <c r="Q8" s="3361">
        <v>2</v>
      </c>
      <c r="R8" s="3363"/>
      <c r="S8" s="3363"/>
      <c r="T8" s="3363">
        <f t="shared" si="4"/>
        <v>34</v>
      </c>
      <c r="U8" s="3363">
        <f t="shared" si="5"/>
        <v>18</v>
      </c>
      <c r="V8" s="3364">
        <f t="shared" si="6"/>
        <v>0.52939999999999998</v>
      </c>
      <c r="W8" s="3364">
        <f t="shared" si="7"/>
        <v>0.31759999999999999</v>
      </c>
      <c r="X8" s="3363">
        <f t="shared" si="8"/>
        <v>5051.0818159999999</v>
      </c>
      <c r="Y8" s="3363"/>
      <c r="Z8" s="3363"/>
      <c r="AA8" s="3363"/>
    </row>
    <row r="9" spans="1:27" s="2971" customFormat="1" ht="36" customHeight="1">
      <c r="A9" s="3355"/>
      <c r="B9" s="3356" t="s">
        <v>3432</v>
      </c>
      <c r="C9" s="3357" t="s">
        <v>3473</v>
      </c>
      <c r="D9" s="3358">
        <v>13716.62</v>
      </c>
      <c r="E9" s="3358">
        <v>1441.83</v>
      </c>
      <c r="F9" s="3358">
        <f>68.47+23.03+93.36+2.31+55.48+231.24</f>
        <v>473.89</v>
      </c>
      <c r="G9" s="3358">
        <f t="shared" si="0"/>
        <v>15632.34</v>
      </c>
      <c r="H9" s="3359">
        <v>15632.45</v>
      </c>
      <c r="I9" s="3358">
        <v>515.54</v>
      </c>
      <c r="J9" s="3359">
        <v>515.54</v>
      </c>
      <c r="K9" s="3360">
        <f t="shared" si="1"/>
        <v>16147.880000000001</v>
      </c>
      <c r="L9" s="3345">
        <f t="shared" si="2"/>
        <v>16147.990000000002</v>
      </c>
      <c r="M9" s="3361" t="str">
        <f t="shared" si="3"/>
        <v>有误差</v>
      </c>
      <c r="N9" s="3356">
        <v>29</v>
      </c>
      <c r="O9" s="3362">
        <v>2</v>
      </c>
      <c r="P9" s="3356">
        <v>5</v>
      </c>
      <c r="Q9" s="3361">
        <v>2</v>
      </c>
      <c r="R9" s="3363"/>
      <c r="S9" s="3363"/>
      <c r="T9" s="3363">
        <f t="shared" si="4"/>
        <v>35</v>
      </c>
      <c r="U9" s="3363">
        <f t="shared" si="5"/>
        <v>11</v>
      </c>
      <c r="V9" s="3364">
        <f t="shared" si="6"/>
        <v>0.31430000000000002</v>
      </c>
      <c r="W9" s="3364">
        <f t="shared" si="7"/>
        <v>0.18859999999999999</v>
      </c>
      <c r="X9" s="3363">
        <f t="shared" si="8"/>
        <v>2948.2800699999998</v>
      </c>
      <c r="Y9" s="3363"/>
      <c r="Z9" s="3363"/>
      <c r="AA9" s="3363"/>
    </row>
    <row r="10" spans="1:27" s="2971" customFormat="1" ht="36" customHeight="1">
      <c r="A10" s="3355"/>
      <c r="B10" s="3356" t="s">
        <v>3433</v>
      </c>
      <c r="C10" s="3357" t="s">
        <v>3472</v>
      </c>
      <c r="D10" s="3358">
        <v>11350.8</v>
      </c>
      <c r="E10" s="3358">
        <v>0</v>
      </c>
      <c r="F10" s="3358">
        <f>22.38+234.1+6.7</f>
        <v>263.18</v>
      </c>
      <c r="G10" s="3358">
        <f t="shared" si="0"/>
        <v>11613.98</v>
      </c>
      <c r="H10" s="3359">
        <v>11613.88</v>
      </c>
      <c r="I10" s="3358">
        <v>362.55</v>
      </c>
      <c r="J10" s="3359">
        <v>362.55</v>
      </c>
      <c r="K10" s="3360">
        <f t="shared" si="1"/>
        <v>11976.529999999999</v>
      </c>
      <c r="L10" s="3345">
        <f t="shared" si="2"/>
        <v>11976.429999999998</v>
      </c>
      <c r="M10" s="3361" t="str">
        <f t="shared" si="3"/>
        <v>有误差</v>
      </c>
      <c r="N10" s="3356">
        <v>31</v>
      </c>
      <c r="O10" s="3362">
        <v>2</v>
      </c>
      <c r="P10" s="3356">
        <v>7</v>
      </c>
      <c r="Q10" s="3361">
        <v>2</v>
      </c>
      <c r="R10" s="3363"/>
      <c r="S10" s="3363"/>
      <c r="T10" s="3363">
        <f t="shared" si="4"/>
        <v>37</v>
      </c>
      <c r="U10" s="3363">
        <f t="shared" si="5"/>
        <v>13</v>
      </c>
      <c r="V10" s="3364">
        <f t="shared" si="6"/>
        <v>0.35139999999999999</v>
      </c>
      <c r="W10" s="3364">
        <f t="shared" si="7"/>
        <v>0.21079999999999999</v>
      </c>
      <c r="X10" s="3363">
        <f t="shared" si="8"/>
        <v>2448.2059039999995</v>
      </c>
      <c r="Y10" s="3363"/>
      <c r="Z10" s="3363"/>
      <c r="AA10" s="3363"/>
    </row>
    <row r="11" spans="1:27" s="2971" customFormat="1" ht="36" customHeight="1">
      <c r="A11" s="3355"/>
      <c r="B11" s="3356" t="s">
        <v>3434</v>
      </c>
      <c r="C11" s="3357" t="s">
        <v>3475</v>
      </c>
      <c r="D11" s="3358">
        <v>9702.3799999999992</v>
      </c>
      <c r="E11" s="3358">
        <v>0</v>
      </c>
      <c r="F11" s="3358">
        <f>20.63+195.84+5.46</f>
        <v>221.93</v>
      </c>
      <c r="G11" s="3358">
        <f t="shared" si="0"/>
        <v>9924.31</v>
      </c>
      <c r="H11" s="3359">
        <v>9924.1299999999992</v>
      </c>
      <c r="I11" s="3358">
        <v>305.57</v>
      </c>
      <c r="J11" s="3359">
        <v>305.57</v>
      </c>
      <c r="K11" s="3360">
        <f t="shared" si="1"/>
        <v>10229.879999999999</v>
      </c>
      <c r="L11" s="3345">
        <f t="shared" si="2"/>
        <v>10229.699999999999</v>
      </c>
      <c r="M11" s="3361" t="str">
        <f t="shared" si="3"/>
        <v>有误差</v>
      </c>
      <c r="N11" s="3356">
        <v>32</v>
      </c>
      <c r="O11" s="3362">
        <v>2</v>
      </c>
      <c r="P11" s="3356">
        <v>12</v>
      </c>
      <c r="Q11" s="3361">
        <v>2</v>
      </c>
      <c r="R11" s="3363"/>
      <c r="S11" s="3363"/>
      <c r="T11" s="3363">
        <f t="shared" si="4"/>
        <v>38</v>
      </c>
      <c r="U11" s="3363">
        <f t="shared" si="5"/>
        <v>18</v>
      </c>
      <c r="V11" s="3364">
        <f t="shared" si="6"/>
        <v>0.47370000000000001</v>
      </c>
      <c r="W11" s="3364">
        <f t="shared" si="7"/>
        <v>0.28420000000000001</v>
      </c>
      <c r="X11" s="3363">
        <f t="shared" si="8"/>
        <v>2820.4377460000001</v>
      </c>
      <c r="Y11" s="3363"/>
      <c r="Z11" s="3363"/>
      <c r="AA11" s="3363"/>
    </row>
    <row r="12" spans="1:27" s="2971" customFormat="1" ht="36" customHeight="1">
      <c r="A12" s="3355" t="s">
        <v>3462</v>
      </c>
      <c r="B12" s="3356" t="s">
        <v>3435</v>
      </c>
      <c r="C12" s="3357" t="s">
        <v>3475</v>
      </c>
      <c r="D12" s="3358">
        <v>9086.2800000000007</v>
      </c>
      <c r="E12" s="3358">
        <v>0</v>
      </c>
      <c r="F12" s="3358">
        <f>197.01+24.49</f>
        <v>221.5</v>
      </c>
      <c r="G12" s="3358">
        <f t="shared" si="0"/>
        <v>9307.7800000000007</v>
      </c>
      <c r="H12" s="3359">
        <v>9307.9</v>
      </c>
      <c r="I12" s="3358">
        <v>0</v>
      </c>
      <c r="J12" s="3359">
        <v>0</v>
      </c>
      <c r="K12" s="3360">
        <f t="shared" si="1"/>
        <v>9307.7800000000007</v>
      </c>
      <c r="L12" s="3345">
        <f t="shared" si="2"/>
        <v>9307.9</v>
      </c>
      <c r="M12" s="3361" t="str">
        <f t="shared" si="3"/>
        <v>有误差</v>
      </c>
      <c r="N12" s="3356">
        <v>30</v>
      </c>
      <c r="O12" s="3362">
        <v>0</v>
      </c>
      <c r="P12" s="3356">
        <v>27</v>
      </c>
      <c r="Q12" s="3361">
        <v>0</v>
      </c>
      <c r="R12" s="3363"/>
      <c r="S12" s="3363"/>
      <c r="T12" s="3363">
        <f t="shared" si="4"/>
        <v>30</v>
      </c>
      <c r="U12" s="3363">
        <f t="shared" si="5"/>
        <v>27</v>
      </c>
      <c r="V12" s="3364">
        <f t="shared" si="6"/>
        <v>0.9</v>
      </c>
      <c r="W12" s="3364">
        <f t="shared" si="7"/>
        <v>0.54</v>
      </c>
      <c r="X12" s="3363">
        <f t="shared" si="8"/>
        <v>5026.2660000000005</v>
      </c>
      <c r="Y12" s="3363"/>
      <c r="Z12" s="3363"/>
      <c r="AA12" s="3363"/>
    </row>
    <row r="13" spans="1:27" s="2971" customFormat="1" ht="36" customHeight="1">
      <c r="A13" s="3355" t="s">
        <v>3461</v>
      </c>
      <c r="B13" s="3356" t="s">
        <v>3436</v>
      </c>
      <c r="C13" s="3357" t="s">
        <v>3474</v>
      </c>
      <c r="D13" s="3358">
        <v>0</v>
      </c>
      <c r="E13" s="3358">
        <v>2852.13</v>
      </c>
      <c r="F13" s="3358">
        <v>0</v>
      </c>
      <c r="G13" s="3358">
        <f t="shared" si="0"/>
        <v>2852.13</v>
      </c>
      <c r="H13" s="3359">
        <v>2852.15</v>
      </c>
      <c r="I13" s="3358">
        <v>0</v>
      </c>
      <c r="J13" s="3359">
        <v>0</v>
      </c>
      <c r="K13" s="3360">
        <f t="shared" si="1"/>
        <v>2852.13</v>
      </c>
      <c r="L13" s="3345">
        <f t="shared" si="2"/>
        <v>2852.15</v>
      </c>
      <c r="M13" s="3361" t="str">
        <f t="shared" si="3"/>
        <v>有误差</v>
      </c>
      <c r="N13" s="3356">
        <v>4</v>
      </c>
      <c r="O13" s="3362">
        <v>2</v>
      </c>
      <c r="P13" s="3356">
        <v>0</v>
      </c>
      <c r="Q13" s="3361">
        <v>0</v>
      </c>
      <c r="R13" s="3363"/>
      <c r="S13" s="3363"/>
      <c r="T13" s="3363">
        <f t="shared" si="4"/>
        <v>10</v>
      </c>
      <c r="U13" s="3363">
        <f t="shared" si="5"/>
        <v>0</v>
      </c>
      <c r="V13" s="3364">
        <f t="shared" si="6"/>
        <v>0</v>
      </c>
      <c r="W13" s="3364">
        <f t="shared" si="7"/>
        <v>0</v>
      </c>
      <c r="X13" s="3363">
        <f t="shared" si="8"/>
        <v>0</v>
      </c>
      <c r="Y13" s="3363"/>
      <c r="Z13" s="3363"/>
      <c r="AA13" s="3363"/>
    </row>
    <row r="14" spans="1:27" s="2971" customFormat="1" ht="36" customHeight="1">
      <c r="A14" s="3355" t="s">
        <v>3463</v>
      </c>
      <c r="B14" s="3356" t="s">
        <v>3437</v>
      </c>
      <c r="C14" s="3357" t="s">
        <v>3473</v>
      </c>
      <c r="D14" s="3358">
        <v>13698.94</v>
      </c>
      <c r="E14" s="3358">
        <v>1146.6500000000001</v>
      </c>
      <c r="F14" s="3358">
        <f>47.65+10.6+207.2</f>
        <v>265.45</v>
      </c>
      <c r="G14" s="3358">
        <f t="shared" si="0"/>
        <v>15111.04</v>
      </c>
      <c r="H14" s="3359">
        <v>15111.06</v>
      </c>
      <c r="I14" s="3358">
        <v>421.82</v>
      </c>
      <c r="J14" s="3359">
        <v>421.82</v>
      </c>
      <c r="K14" s="3360">
        <f t="shared" si="1"/>
        <v>15532.86</v>
      </c>
      <c r="L14" s="3345">
        <f t="shared" si="2"/>
        <v>15532.88</v>
      </c>
      <c r="M14" s="3361" t="str">
        <f t="shared" si="3"/>
        <v>有误差</v>
      </c>
      <c r="N14" s="3356">
        <v>29</v>
      </c>
      <c r="O14" s="3362">
        <v>2</v>
      </c>
      <c r="P14" s="3356">
        <v>3</v>
      </c>
      <c r="Q14" s="3361">
        <v>2</v>
      </c>
      <c r="R14" s="3363"/>
      <c r="S14" s="3363"/>
      <c r="T14" s="3363">
        <f t="shared" si="4"/>
        <v>35</v>
      </c>
      <c r="U14" s="3363">
        <f t="shared" si="5"/>
        <v>9</v>
      </c>
      <c r="V14" s="3364">
        <f t="shared" si="6"/>
        <v>0.2571</v>
      </c>
      <c r="W14" s="3364">
        <f t="shared" si="7"/>
        <v>0.15429999999999999</v>
      </c>
      <c r="X14" s="3363">
        <f t="shared" si="8"/>
        <v>2331.6365579999997</v>
      </c>
      <c r="Y14" s="3363"/>
      <c r="Z14" s="3363"/>
      <c r="AA14" s="3363"/>
    </row>
    <row r="15" spans="1:27" s="2971" customFormat="1" ht="36" customHeight="1">
      <c r="A15" s="3355" t="s">
        <v>3477</v>
      </c>
      <c r="B15" s="3356" t="s">
        <v>3438</v>
      </c>
      <c r="C15" s="3357" t="s">
        <v>3474</v>
      </c>
      <c r="D15" s="3358">
        <v>0</v>
      </c>
      <c r="E15" s="3358">
        <v>2855.41</v>
      </c>
      <c r="F15" s="3358">
        <v>0</v>
      </c>
      <c r="G15" s="3358">
        <f t="shared" si="0"/>
        <v>2855.41</v>
      </c>
      <c r="H15" s="3359">
        <v>2855.43</v>
      </c>
      <c r="I15" s="3358">
        <v>0</v>
      </c>
      <c r="J15" s="3359">
        <v>0</v>
      </c>
      <c r="K15" s="3360">
        <f t="shared" si="1"/>
        <v>2855.41</v>
      </c>
      <c r="L15" s="3345">
        <f t="shared" si="2"/>
        <v>2855.43</v>
      </c>
      <c r="M15" s="3361" t="str">
        <f t="shared" si="3"/>
        <v>有误差</v>
      </c>
      <c r="N15" s="3356">
        <v>4</v>
      </c>
      <c r="O15" s="3362">
        <v>2</v>
      </c>
      <c r="P15" s="3356">
        <v>0</v>
      </c>
      <c r="Q15" s="3361">
        <v>0</v>
      </c>
      <c r="R15" s="3363"/>
      <c r="S15" s="3363"/>
      <c r="T15" s="3363">
        <f t="shared" si="4"/>
        <v>10</v>
      </c>
      <c r="U15" s="3363">
        <f t="shared" si="5"/>
        <v>0</v>
      </c>
      <c r="V15" s="3364">
        <f t="shared" si="6"/>
        <v>0</v>
      </c>
      <c r="W15" s="3364">
        <f t="shared" si="7"/>
        <v>0</v>
      </c>
      <c r="X15" s="3363">
        <f t="shared" si="8"/>
        <v>0</v>
      </c>
      <c r="Y15" s="3363"/>
      <c r="Z15" s="3363"/>
      <c r="AA15" s="3363"/>
    </row>
    <row r="16" spans="1:27" s="2971" customFormat="1" ht="36" customHeight="1">
      <c r="A16" s="3355" t="s">
        <v>3476</v>
      </c>
      <c r="B16" s="3356" t="s">
        <v>3439</v>
      </c>
      <c r="C16" s="3357" t="s">
        <v>3474</v>
      </c>
      <c r="D16" s="3358">
        <v>0</v>
      </c>
      <c r="E16" s="3358">
        <v>1712.88</v>
      </c>
      <c r="F16" s="3358">
        <v>0</v>
      </c>
      <c r="G16" s="3358">
        <f t="shared" si="0"/>
        <v>1712.88</v>
      </c>
      <c r="H16" s="3359">
        <v>1712.88</v>
      </c>
      <c r="I16" s="3358">
        <v>0</v>
      </c>
      <c r="J16" s="3359">
        <v>0</v>
      </c>
      <c r="K16" s="3360">
        <f t="shared" si="1"/>
        <v>1712.88</v>
      </c>
      <c r="L16" s="3345">
        <f t="shared" si="2"/>
        <v>1712.88</v>
      </c>
      <c r="M16" s="3361" t="str">
        <f t="shared" si="3"/>
        <v>相同</v>
      </c>
      <c r="N16" s="3356">
        <v>4</v>
      </c>
      <c r="O16" s="3362">
        <v>0</v>
      </c>
      <c r="P16" s="3356">
        <v>0</v>
      </c>
      <c r="Q16" s="3361">
        <v>0</v>
      </c>
      <c r="R16" s="3363"/>
      <c r="S16" s="3363"/>
      <c r="T16" s="3363">
        <f t="shared" si="4"/>
        <v>4</v>
      </c>
      <c r="U16" s="3363">
        <f t="shared" si="5"/>
        <v>0</v>
      </c>
      <c r="V16" s="3364">
        <f t="shared" si="6"/>
        <v>0</v>
      </c>
      <c r="W16" s="3364">
        <f t="shared" si="7"/>
        <v>0</v>
      </c>
      <c r="X16" s="3363">
        <f t="shared" si="8"/>
        <v>0</v>
      </c>
      <c r="Y16" s="3363"/>
      <c r="Z16" s="3363"/>
      <c r="AA16" s="3363"/>
    </row>
    <row r="17" spans="1:29" s="2979" customFormat="1" ht="36" customHeight="1" thickBot="1">
      <c r="A17" s="3328"/>
      <c r="B17" s="3365"/>
      <c r="C17" s="3366"/>
      <c r="D17" s="3367">
        <f>SUM(D6:D16)</f>
        <v>90096.790000000008</v>
      </c>
      <c r="E17" s="3367">
        <f t="shared" ref="E17:L17" si="9">SUM(E6:E16)</f>
        <v>15828.25</v>
      </c>
      <c r="F17" s="3367">
        <f t="shared" si="9"/>
        <v>2095.88</v>
      </c>
      <c r="G17" s="3367">
        <f t="shared" si="9"/>
        <v>108020.92000000001</v>
      </c>
      <c r="H17" s="3368">
        <f t="shared" si="9"/>
        <v>108021.23999999999</v>
      </c>
      <c r="I17" s="3367">
        <f t="shared" si="9"/>
        <v>2705.05</v>
      </c>
      <c r="J17" s="3368">
        <f t="shared" si="9"/>
        <v>2705.05</v>
      </c>
      <c r="K17" s="3367">
        <f t="shared" si="9"/>
        <v>110725.97000000002</v>
      </c>
      <c r="L17" s="3368">
        <f t="shared" si="9"/>
        <v>110726.28999999998</v>
      </c>
      <c r="M17" s="3369" t="s">
        <v>3447</v>
      </c>
      <c r="N17" s="3365"/>
      <c r="O17" s="3370"/>
      <c r="P17" s="3365"/>
      <c r="Q17" s="3369"/>
      <c r="R17" s="3340"/>
      <c r="S17" s="3340"/>
      <c r="T17" s="3340"/>
      <c r="U17" s="3340"/>
      <c r="V17" s="3341"/>
      <c r="W17" s="3341"/>
      <c r="X17" s="3340">
        <f>SUM(X6:X16)</f>
        <v>29627.826847999997</v>
      </c>
      <c r="Y17" s="3341">
        <f>ROUND(X17/H17,2)</f>
        <v>0.27</v>
      </c>
      <c r="Z17" s="3340"/>
      <c r="AA17" s="3340"/>
    </row>
    <row r="18" spans="1:29">
      <c r="AA18" s="3363"/>
      <c r="AC18" s="2971"/>
    </row>
    <row r="20" spans="1:29" ht="33">
      <c r="A20" s="3373" t="s">
        <v>3486</v>
      </c>
      <c r="B20" s="3373">
        <v>2673</v>
      </c>
    </row>
    <row r="21" spans="1:29">
      <c r="A21" s="3373" t="s">
        <v>3487</v>
      </c>
      <c r="B21" s="3373">
        <v>7556</v>
      </c>
    </row>
    <row r="22" spans="1:29">
      <c r="A22" s="3373" t="s">
        <v>3488</v>
      </c>
      <c r="B22" s="3373">
        <v>25234.94</v>
      </c>
    </row>
    <row r="23" spans="1:29">
      <c r="A23" s="3374"/>
      <c r="B23" s="3375">
        <f>SUM(B20:B22)</f>
        <v>35463.94</v>
      </c>
    </row>
  </sheetData>
  <mergeCells count="8">
    <mergeCell ref="B4:C5"/>
    <mergeCell ref="N4:O4"/>
    <mergeCell ref="P4:Q4"/>
    <mergeCell ref="K4:K5"/>
    <mergeCell ref="L4:L5"/>
    <mergeCell ref="M4:M5"/>
    <mergeCell ref="D4:H4"/>
    <mergeCell ref="I4:J4"/>
  </mergeCells>
  <phoneticPr fontId="143" type="noConversion"/>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7" sqref="I7"/>
    </sheetView>
  </sheetViews>
  <sheetFormatPr defaultColWidth="9.125" defaultRowHeight="14.25"/>
  <cols>
    <col min="1" max="1" width="12.125" style="2216" customWidth="1"/>
    <col min="2" max="2" width="10.1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125" style="2216"/>
  </cols>
  <sheetData>
    <row r="1" spans="1:16" ht="18.75">
      <c r="A1" s="2215" t="s">
        <v>1932</v>
      </c>
      <c r="B1" s="1389"/>
      <c r="C1" s="1389"/>
      <c r="D1" s="1389"/>
      <c r="E1" s="1389"/>
      <c r="F1" s="1389"/>
      <c r="G1" s="1389"/>
      <c r="H1" s="1389"/>
      <c r="I1" s="1389"/>
      <c r="J1" s="1389"/>
      <c r="K1" s="1389"/>
      <c r="L1" s="1389"/>
      <c r="M1" s="1389"/>
      <c r="N1" s="1389"/>
      <c r="O1" s="1389"/>
      <c r="P1" s="1389"/>
    </row>
    <row r="2" spans="1:16" ht="15">
      <c r="A2" s="3076" t="s">
        <v>1933</v>
      </c>
      <c r="B2" s="3076"/>
      <c r="C2" s="3076"/>
      <c r="D2" s="965" t="s">
        <v>1909</v>
      </c>
      <c r="E2" s="2217" t="s">
        <v>1910</v>
      </c>
      <c r="F2" s="1389"/>
      <c r="G2" s="2218"/>
      <c r="H2" s="2219"/>
      <c r="I2" s="2220" t="s">
        <v>1934</v>
      </c>
      <c r="J2" s="1389"/>
      <c r="K2" s="1389"/>
      <c r="L2" s="1389"/>
      <c r="M2" s="1389"/>
      <c r="N2" s="1424"/>
      <c r="O2" s="1389"/>
      <c r="P2" s="1389"/>
    </row>
    <row r="3" spans="1:16" ht="15.75" thickBot="1">
      <c r="A3" s="3077" t="s">
        <v>1907</v>
      </c>
      <c r="B3" s="3077"/>
      <c r="C3" s="3077"/>
      <c r="D3" s="46">
        <f>'数据-基础表'!AY6</f>
        <v>30136.12</v>
      </c>
      <c r="E3" s="46">
        <f>'数据-基础表'!AZ5</f>
        <v>135929.18</v>
      </c>
      <c r="F3" s="1389"/>
      <c r="G3" s="1396"/>
      <c r="H3" s="1245" t="s">
        <v>1908</v>
      </c>
      <c r="I3" s="55">
        <f>ROUND('数据-基础表'!B3/'数据-基础表'!A3,2)</f>
        <v>4.51</v>
      </c>
      <c r="J3" s="1389"/>
      <c r="K3" s="1389"/>
      <c r="L3" s="1389"/>
      <c r="M3" s="1389"/>
      <c r="N3" s="1424"/>
      <c r="O3" s="1389"/>
      <c r="P3" s="1389"/>
    </row>
    <row r="4" spans="1:16" ht="15">
      <c r="A4" s="3078"/>
      <c r="B4" s="3079"/>
      <c r="C4" s="3080"/>
      <c r="D4" s="2221" t="s">
        <v>1909</v>
      </c>
      <c r="E4" s="2222" t="s">
        <v>1910</v>
      </c>
      <c r="F4" s="1389"/>
      <c r="G4" s="2223" t="s">
        <v>1935</v>
      </c>
      <c r="H4" s="1245" t="s">
        <v>1915</v>
      </c>
      <c r="I4" s="55">
        <f>ROUND(SUMIF('数据-基础表'!I9:AS9,"地上",'数据-基础表'!I5:AS5)/'数据-基础表'!A3,2)</f>
        <v>3.58</v>
      </c>
      <c r="J4" s="1389"/>
      <c r="K4" s="1389"/>
      <c r="L4" s="1389"/>
      <c r="M4" s="1389"/>
      <c r="N4" s="1424"/>
      <c r="O4" s="1389"/>
      <c r="P4" s="1389"/>
    </row>
    <row r="5" spans="1:16">
      <c r="A5" s="47" t="s">
        <v>1911</v>
      </c>
      <c r="B5" s="3081" t="s">
        <v>1912</v>
      </c>
      <c r="C5" s="3081"/>
      <c r="D5" s="48">
        <f>ROUND($D$3*E5/$E$3,2)</f>
        <v>19974.87</v>
      </c>
      <c r="E5" s="49">
        <f>SUMIF('数据-基础表'!$11:$11,"住宅",'数据-基础表'!$5:$5)</f>
        <v>90096.790000000008</v>
      </c>
      <c r="F5" s="1389"/>
      <c r="G5" s="1396"/>
      <c r="H5" s="1245" t="s">
        <v>1908</v>
      </c>
      <c r="I5" s="55">
        <f>ROUND(E31/D31,2)</f>
        <v>4.51</v>
      </c>
      <c r="J5" s="1389"/>
      <c r="K5" s="1389"/>
      <c r="L5" s="1389"/>
      <c r="M5" s="1389"/>
      <c r="N5" s="1389"/>
      <c r="O5" s="1389"/>
      <c r="P5" s="1389"/>
    </row>
    <row r="6" spans="1:16" ht="15" thickBot="1">
      <c r="A6" s="2224"/>
      <c r="B6" s="3081" t="s">
        <v>1913</v>
      </c>
      <c r="C6" s="3081"/>
      <c r="D6" s="48">
        <f>ROUND($D$3*E6/$E$3,2)</f>
        <v>10161.25</v>
      </c>
      <c r="E6" s="49">
        <f>E3-E5</f>
        <v>45832.389999999985</v>
      </c>
      <c r="F6" s="1389"/>
      <c r="G6" s="2225" t="s">
        <v>1914</v>
      </c>
      <c r="H6" s="1396" t="s">
        <v>1915</v>
      </c>
      <c r="I6" s="937">
        <f>ROUND(F31/D31,2)</f>
        <v>3.58</v>
      </c>
      <c r="J6" s="1389"/>
      <c r="K6" s="1389"/>
      <c r="L6" s="1389"/>
      <c r="M6" s="1389"/>
      <c r="N6" s="1389"/>
      <c r="O6" s="1389"/>
      <c r="P6" s="1389"/>
    </row>
    <row r="7" spans="1:16" ht="15">
      <c r="A7" s="3073"/>
      <c r="B7" s="3074"/>
      <c r="C7" s="3075"/>
      <c r="D7" s="2221" t="s">
        <v>1909</v>
      </c>
      <c r="E7" s="2226" t="s">
        <v>1916</v>
      </c>
      <c r="F7" s="1389"/>
      <c r="G7" s="2218" t="s">
        <v>1917</v>
      </c>
      <c r="H7" s="64"/>
      <c r="I7" s="419">
        <f>ROUND(测绘!B3/D3,2)</f>
        <v>3.52</v>
      </c>
      <c r="J7" s="1389"/>
      <c r="K7" s="1389"/>
      <c r="L7" s="1389"/>
      <c r="M7" s="1389"/>
      <c r="N7" s="1389"/>
      <c r="O7" s="1389"/>
      <c r="P7" s="1389"/>
    </row>
    <row r="8" spans="1:16">
      <c r="A8" s="47" t="s">
        <v>1918</v>
      </c>
      <c r="B8" s="50" t="s">
        <v>1919</v>
      </c>
      <c r="C8" s="48" t="s">
        <v>1920</v>
      </c>
      <c r="D8" s="48">
        <f t="shared" ref="D8:D15" si="0">ROUND($D$3*E8/$E$3,2)</f>
        <v>23484.07</v>
      </c>
      <c r="E8" s="51">
        <f>SUMIF('数据-基础表'!BB10:BK10,"地上",'数据-基础表'!BB5:BK5)</f>
        <v>105925.04000000001</v>
      </c>
      <c r="F8" s="1389"/>
      <c r="G8" s="2227"/>
      <c r="H8" s="2227"/>
      <c r="I8" s="1389"/>
      <c r="J8" s="1389"/>
      <c r="K8" s="1389"/>
      <c r="L8" s="1389"/>
      <c r="M8" s="1389"/>
      <c r="N8" s="1389"/>
      <c r="O8" s="1389"/>
      <c r="P8" s="1389"/>
    </row>
    <row r="9" spans="1:16">
      <c r="A9" s="2228"/>
      <c r="B9" s="2229"/>
      <c r="C9" s="48" t="s">
        <v>1921</v>
      </c>
      <c r="D9" s="48">
        <f t="shared" si="0"/>
        <v>0</v>
      </c>
      <c r="E9" s="52">
        <v>0</v>
      </c>
      <c r="F9" s="1389"/>
      <c r="G9" s="2227"/>
      <c r="H9" s="2227"/>
      <c r="I9" s="1389"/>
      <c r="J9" s="1389"/>
      <c r="K9" s="1389"/>
      <c r="L9" s="1389"/>
      <c r="M9" s="1389"/>
      <c r="N9" s="1389"/>
      <c r="O9" s="1389"/>
      <c r="P9" s="1389"/>
    </row>
    <row r="10" spans="1:16">
      <c r="A10" s="2228"/>
      <c r="B10" s="2229"/>
      <c r="C10" s="48" t="s">
        <v>1930</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c r="A11" s="2228"/>
      <c r="B11" s="2229"/>
      <c r="C11" s="48" t="s">
        <v>1922</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c r="A12" s="2228"/>
      <c r="B12" s="2229"/>
      <c r="C12" s="48" t="s">
        <v>1923</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c r="A13" s="2228"/>
      <c r="B13" s="2229"/>
      <c r="C13" s="48" t="s">
        <v>1924</v>
      </c>
      <c r="D13" s="48">
        <f t="shared" si="0"/>
        <v>5594.7</v>
      </c>
      <c r="E13" s="51">
        <f>SUMPRODUCT(('数据-基础表'!BB10:BK10="地下")*('数据-基础表'!BB11:BK11="车库")*('数据-基础表'!BB5:BK5))</f>
        <v>25234.94</v>
      </c>
      <c r="F13" s="1389"/>
      <c r="G13" s="2227"/>
      <c r="H13" s="2227"/>
      <c r="I13" s="1389"/>
      <c r="J13" s="1389"/>
      <c r="K13" s="1389"/>
      <c r="L13" s="1389"/>
      <c r="M13" s="1389"/>
      <c r="N13" s="1389"/>
      <c r="O13" s="1389"/>
      <c r="P13" s="1389"/>
    </row>
    <row r="14" spans="1:16">
      <c r="A14" s="2228"/>
      <c r="B14" s="2229"/>
      <c r="C14" s="48" t="s">
        <v>1936</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1931</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75" thickBot="1">
      <c r="A16" s="2224"/>
      <c r="B16" s="2229"/>
      <c r="C16" s="50" t="s">
        <v>1925</v>
      </c>
      <c r="D16" s="50">
        <f>SUM(D8:D15)</f>
        <v>29078.77</v>
      </c>
      <c r="E16" s="53">
        <f>SUM(E8:E15)</f>
        <v>131159.98000000001</v>
      </c>
      <c r="F16" s="1389"/>
      <c r="G16" s="2227"/>
      <c r="H16" s="2230" t="s">
        <v>1937</v>
      </c>
      <c r="I16" s="2231"/>
      <c r="J16" s="1389"/>
      <c r="K16" s="3070" t="s">
        <v>1937</v>
      </c>
      <c r="L16" s="3071"/>
      <c r="M16" s="3071"/>
      <c r="N16" s="3071"/>
      <c r="O16" s="3071"/>
      <c r="P16" s="3072"/>
    </row>
    <row r="17" spans="1:19" ht="15">
      <c r="A17" s="2232" t="s">
        <v>1938</v>
      </c>
      <c r="B17" s="2233" t="s">
        <v>1939</v>
      </c>
      <c r="C17" s="2234" t="s">
        <v>1940</v>
      </c>
      <c r="D17" s="2235" t="s">
        <v>1928</v>
      </c>
      <c r="E17" s="2236" t="s">
        <v>1929</v>
      </c>
      <c r="F17" s="2237"/>
      <c r="G17" s="2238"/>
      <c r="H17" s="2239" t="s">
        <v>1941</v>
      </c>
      <c r="I17" s="2240" t="s">
        <v>1926</v>
      </c>
      <c r="J17" s="1389"/>
      <c r="K17" s="3067" t="s">
        <v>1942</v>
      </c>
      <c r="L17" s="3068"/>
      <c r="M17" s="3069"/>
      <c r="N17" s="3067" t="s">
        <v>1943</v>
      </c>
      <c r="O17" s="3068"/>
      <c r="P17" s="3069"/>
      <c r="R17" s="2218" t="s">
        <v>1944</v>
      </c>
      <c r="S17" s="64"/>
    </row>
    <row r="18" spans="1:19" ht="15">
      <c r="A18" s="2228"/>
      <c r="B18" s="2241"/>
      <c r="C18" s="2242"/>
      <c r="D18" s="2243"/>
      <c r="E18" s="2244" t="s">
        <v>1945</v>
      </c>
      <c r="F18" s="2245" t="s">
        <v>1946</v>
      </c>
      <c r="G18" s="2246" t="s">
        <v>1947</v>
      </c>
      <c r="H18" s="1260" t="s">
        <v>1948</v>
      </c>
      <c r="I18" s="2247" t="s">
        <v>1949</v>
      </c>
      <c r="J18" s="1389"/>
      <c r="K18" s="1260" t="s">
        <v>1950</v>
      </c>
      <c r="L18" s="2248" t="s">
        <v>1951</v>
      </c>
      <c r="M18" s="1044" t="s">
        <v>1952</v>
      </c>
      <c r="N18" s="1260" t="s">
        <v>1950</v>
      </c>
      <c r="O18" s="2248" t="s">
        <v>1951</v>
      </c>
      <c r="P18" s="1044" t="s">
        <v>1952</v>
      </c>
      <c r="R18" s="1245" t="s">
        <v>1953</v>
      </c>
      <c r="S18" s="1245" t="s">
        <v>1954</v>
      </c>
    </row>
    <row r="19" spans="1:19">
      <c r="A19" s="2249"/>
      <c r="B19" s="50" t="s">
        <v>1927</v>
      </c>
      <c r="C19" s="2951" t="s">
        <v>3078</v>
      </c>
      <c r="D19" s="48">
        <f>ROUND($D$3*E19/$E$3,2)</f>
        <v>17960.400000000001</v>
      </c>
      <c r="E19" s="56">
        <f t="shared" ref="E19:E26" si="1">SUM(F19:G19)</f>
        <v>81010.510000000009</v>
      </c>
      <c r="F19" s="57">
        <f>'数据-基础表'!I13</f>
        <v>81010.510000000009</v>
      </c>
      <c r="G19" s="58"/>
      <c r="H19" s="722">
        <f>ROUND($D$3*I19/$E$3,2)</f>
        <v>653.07000000000005</v>
      </c>
      <c r="I19" s="51">
        <f t="shared" ref="I19:I26" si="2">IF($I$17="自定义",P19,M19)</f>
        <v>2945.68</v>
      </c>
      <c r="J19" s="1389"/>
      <c r="K19" s="1388">
        <f t="shared" ref="K19:K26" si="3">ROUND(E$28*E19/E$27,2)</f>
        <v>2945.68</v>
      </c>
      <c r="L19" s="1245">
        <f t="shared" ref="L19:L26" si="4">ROUND(IF(COUNTIF(C19,"*住宅*")&gt;0,E$29*E19/E$32,0),2)</f>
        <v>0</v>
      </c>
      <c r="M19" s="1400">
        <f>K19+L19</f>
        <v>2945.68</v>
      </c>
      <c r="N19" s="2250"/>
      <c r="O19" s="2251"/>
      <c r="P19" s="1400">
        <f>N19+O19</f>
        <v>0</v>
      </c>
      <c r="R19" s="1245">
        <f t="shared" ref="R19:S26" si="5">D19+H19</f>
        <v>18613.47</v>
      </c>
      <c r="S19" s="1246">
        <f t="shared" si="5"/>
        <v>83956.19</v>
      </c>
    </row>
    <row r="20" spans="1:19">
      <c r="A20" s="2252"/>
      <c r="B20" s="50" t="s">
        <v>1955</v>
      </c>
      <c r="C20" s="2951" t="s">
        <v>3079</v>
      </c>
      <c r="D20" s="48">
        <f t="shared" ref="D20:D26" si="6">ROUND($D$3*E20/$E$3,2)</f>
        <v>2402.85</v>
      </c>
      <c r="E20" s="56">
        <f t="shared" si="1"/>
        <v>10838.060000000001</v>
      </c>
      <c r="F20" s="57">
        <f>'数据-基础表'!K13</f>
        <v>10838.060000000001</v>
      </c>
      <c r="G20" s="58"/>
      <c r="H20" s="722">
        <f t="shared" ref="H20:H26" si="7">ROUND($D$3*I20/$E$3,2)</f>
        <v>87.37</v>
      </c>
      <c r="I20" s="51">
        <f t="shared" si="2"/>
        <v>394.09</v>
      </c>
      <c r="J20" s="1389"/>
      <c r="K20" s="1388">
        <f t="shared" si="3"/>
        <v>394.09</v>
      </c>
      <c r="L20" s="1245">
        <f t="shared" si="4"/>
        <v>0</v>
      </c>
      <c r="M20" s="1400">
        <f t="shared" ref="M20:M26" si="8">K20+L20</f>
        <v>394.09</v>
      </c>
      <c r="N20" s="2250"/>
      <c r="O20" s="2251"/>
      <c r="P20" s="1400">
        <f t="shared" ref="P20:P26" si="9">N20+O20</f>
        <v>0</v>
      </c>
      <c r="R20" s="1245">
        <f t="shared" si="5"/>
        <v>2490.2199999999998</v>
      </c>
      <c r="S20" s="1246">
        <f t="shared" si="5"/>
        <v>11232.150000000001</v>
      </c>
    </row>
    <row r="21" spans="1:19">
      <c r="A21" s="2252"/>
      <c r="B21" s="50" t="s">
        <v>1955</v>
      </c>
      <c r="C21" s="2951" t="s">
        <v>3080</v>
      </c>
      <c r="D21" s="48">
        <f t="shared" si="6"/>
        <v>1106.3499999999999</v>
      </c>
      <c r="E21" s="56">
        <f t="shared" si="1"/>
        <v>4990.1900000000005</v>
      </c>
      <c r="F21" s="57">
        <f>'数据-基础表'!M13</f>
        <v>4990.1900000000005</v>
      </c>
      <c r="G21" s="58"/>
      <c r="H21" s="722">
        <f t="shared" si="7"/>
        <v>40.229999999999997</v>
      </c>
      <c r="I21" s="51">
        <f t="shared" si="2"/>
        <v>181.45</v>
      </c>
      <c r="J21" s="1389"/>
      <c r="K21" s="1388">
        <f t="shared" si="3"/>
        <v>181.45</v>
      </c>
      <c r="L21" s="1245">
        <f t="shared" si="4"/>
        <v>0</v>
      </c>
      <c r="M21" s="1400">
        <f t="shared" si="8"/>
        <v>181.45</v>
      </c>
      <c r="N21" s="2250"/>
      <c r="O21" s="2251"/>
      <c r="P21" s="1400">
        <f t="shared" si="9"/>
        <v>0</v>
      </c>
      <c r="R21" s="1245">
        <f t="shared" si="5"/>
        <v>1146.58</v>
      </c>
      <c r="S21" s="1246">
        <f t="shared" si="5"/>
        <v>5171.6400000000003</v>
      </c>
    </row>
    <row r="22" spans="1:19">
      <c r="A22" s="2252"/>
      <c r="B22" s="50" t="s">
        <v>1955</v>
      </c>
      <c r="C22" s="2952" t="s">
        <v>3081</v>
      </c>
      <c r="D22" s="48">
        <f t="shared" si="6"/>
        <v>5594.7</v>
      </c>
      <c r="E22" s="56">
        <f t="shared" si="1"/>
        <v>25234.94</v>
      </c>
      <c r="F22" s="61"/>
      <c r="G22" s="62">
        <f>'数据-基础表'!O13</f>
        <v>25234.94</v>
      </c>
      <c r="H22" s="722">
        <f t="shared" si="7"/>
        <v>203.43</v>
      </c>
      <c r="I22" s="51">
        <f t="shared" si="2"/>
        <v>917.59</v>
      </c>
      <c r="J22" s="1389"/>
      <c r="K22" s="1388">
        <f t="shared" si="3"/>
        <v>917.59</v>
      </c>
      <c r="L22" s="1245">
        <f t="shared" si="4"/>
        <v>0</v>
      </c>
      <c r="M22" s="1400">
        <f t="shared" si="8"/>
        <v>917.59</v>
      </c>
      <c r="N22" s="2250"/>
      <c r="O22" s="2251"/>
      <c r="P22" s="1400">
        <f t="shared" si="9"/>
        <v>0</v>
      </c>
      <c r="R22" s="1245">
        <f t="shared" si="5"/>
        <v>5798.13</v>
      </c>
      <c r="S22" s="1246">
        <f t="shared" si="5"/>
        <v>26152.53</v>
      </c>
    </row>
    <row r="23" spans="1:19">
      <c r="A23" s="2252"/>
      <c r="B23" s="50" t="s">
        <v>1955</v>
      </c>
      <c r="C23" s="60" t="s">
        <v>3489</v>
      </c>
      <c r="D23" s="48">
        <f>ROUND($D$3*E23/$E$3,2)</f>
        <v>2014.47</v>
      </c>
      <c r="E23" s="56">
        <f>SUM(F23:G23)</f>
        <v>9086.2800000000007</v>
      </c>
      <c r="F23" s="61">
        <f>'数据-基础表'!I14</f>
        <v>9086.2800000000007</v>
      </c>
      <c r="G23" s="62"/>
      <c r="H23" s="722">
        <f>ROUND($D$3*I23/$E$3,2)</f>
        <v>73.25</v>
      </c>
      <c r="I23" s="51">
        <f t="shared" si="2"/>
        <v>330.39</v>
      </c>
      <c r="J23" s="1389"/>
      <c r="K23" s="1388">
        <f t="shared" si="3"/>
        <v>330.39</v>
      </c>
      <c r="L23" s="1245">
        <f t="shared" si="4"/>
        <v>0</v>
      </c>
      <c r="M23" s="1400">
        <f t="shared" si="8"/>
        <v>330.39</v>
      </c>
      <c r="N23" s="2250"/>
      <c r="O23" s="2251"/>
      <c r="P23" s="1400">
        <f t="shared" si="9"/>
        <v>0</v>
      </c>
      <c r="R23" s="1245">
        <f t="shared" si="5"/>
        <v>2087.7200000000003</v>
      </c>
      <c r="S23" s="1246">
        <f t="shared" si="5"/>
        <v>9416.67</v>
      </c>
    </row>
    <row r="24" spans="1:19">
      <c r="A24" s="2252"/>
      <c r="B24" s="50" t="s">
        <v>1955</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0"/>
      <c r="O24" s="2251"/>
      <c r="P24" s="1400">
        <f t="shared" si="9"/>
        <v>0</v>
      </c>
      <c r="R24" s="1245">
        <f t="shared" si="5"/>
        <v>0</v>
      </c>
      <c r="S24" s="1246">
        <f t="shared" si="5"/>
        <v>0</v>
      </c>
    </row>
    <row r="25" spans="1:19">
      <c r="A25" s="2252"/>
      <c r="B25" s="50" t="s">
        <v>1955</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0"/>
      <c r="O25" s="2251"/>
      <c r="P25" s="1400">
        <f t="shared" si="9"/>
        <v>0</v>
      </c>
      <c r="R25" s="1245">
        <f t="shared" si="5"/>
        <v>0</v>
      </c>
      <c r="S25" s="1246">
        <f t="shared" si="5"/>
        <v>0</v>
      </c>
    </row>
    <row r="26" spans="1:19">
      <c r="A26" s="2252"/>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3"/>
      <c r="O26" s="2254"/>
      <c r="P26" s="67">
        <f t="shared" si="9"/>
        <v>0</v>
      </c>
      <c r="R26" s="1245">
        <f t="shared" si="5"/>
        <v>0</v>
      </c>
      <c r="S26" s="1246">
        <f t="shared" si="5"/>
        <v>0</v>
      </c>
    </row>
    <row r="27" spans="1:19" ht="15.75" thickBot="1">
      <c r="A27" s="2252"/>
      <c r="B27" s="48"/>
      <c r="C27" s="2255" t="s">
        <v>1956</v>
      </c>
      <c r="D27" s="1390">
        <f>SUM(D19:D26)</f>
        <v>29078.77</v>
      </c>
      <c r="E27" s="1391">
        <f>IF(SUM(E19:E26)='数据-基础表'!BA5,SUM(E19:E26),IF(F27="地上面积有误","面积有误","地下面积有误"))</f>
        <v>131159.98000000001</v>
      </c>
      <c r="F27" s="1390">
        <f>IF(SUM(F19:F26)=E8,SUM(F19:F26),"地上面积有误")</f>
        <v>105925.04000000001</v>
      </c>
      <c r="G27" s="1392">
        <f>SUM(G19:G26)</f>
        <v>25234.94</v>
      </c>
      <c r="H27" s="1393">
        <f>SUM(H19:H26)</f>
        <v>1057.3500000000001</v>
      </c>
      <c r="I27" s="1394">
        <f>SUM(I19:I26)</f>
        <v>4769.2</v>
      </c>
      <c r="J27" s="1389"/>
      <c r="K27" s="1397">
        <f>SUM(K19:K26)</f>
        <v>4769.2</v>
      </c>
      <c r="L27" s="1398">
        <f>SUM(L19:L26)</f>
        <v>0</v>
      </c>
      <c r="M27" s="1401">
        <f>SUM(M19:M26)</f>
        <v>4769.2</v>
      </c>
      <c r="N27" s="1397">
        <f t="shared" ref="N27:O27" si="10">SUM(N19:N26)</f>
        <v>0</v>
      </c>
      <c r="O27" s="1398">
        <f t="shared" si="10"/>
        <v>0</v>
      </c>
      <c r="P27" s="1399">
        <f>SUM(P19:P26)</f>
        <v>0</v>
      </c>
      <c r="R27" s="1247">
        <f>IF(SUM(R19:R26)=$D$3,SUM(R19:R26),SUM(R19:R26)&amp;"误差"&amp;ROUND(SUM(R19:R26)-$D$3,2))</f>
        <v>30136.120000000006</v>
      </c>
      <c r="S27" s="1245">
        <f>IF(SUM(S19:S26)=$E$3,SUM(S19:S26),SUM(S19:S26)&amp;"误差"&amp;ROUND(SUM(S19:S26)-E3,2))</f>
        <v>135929.18</v>
      </c>
    </row>
    <row r="28" spans="1:19">
      <c r="A28" s="2252"/>
      <c r="B28" s="50" t="s">
        <v>1957</v>
      </c>
      <c r="C28" s="1257" t="s">
        <v>1958</v>
      </c>
      <c r="D28" s="48">
        <f>ROUND($D$3*E28/$E$3,2)</f>
        <v>1057.3499999999999</v>
      </c>
      <c r="E28" s="56">
        <f>SUM(F28:G28)</f>
        <v>4769.1999999999825</v>
      </c>
      <c r="F28" s="64">
        <f>'数据-基础表'!BQ5+'数据-基础表'!BS5</f>
        <v>2096.1999999999825</v>
      </c>
      <c r="G28" s="65">
        <f>'数据-基础表'!BR5+'数据-基础表'!BT5</f>
        <v>2673</v>
      </c>
      <c r="H28" s="1389"/>
      <c r="I28" s="1389"/>
      <c r="J28" s="1389"/>
      <c r="K28" s="1389"/>
      <c r="L28" s="1389"/>
      <c r="M28" s="1389"/>
      <c r="N28" s="1389"/>
      <c r="O28" s="1389"/>
      <c r="P28" s="1389"/>
    </row>
    <row r="29" spans="1:19">
      <c r="A29" s="2252"/>
      <c r="B29" s="50" t="s">
        <v>1957</v>
      </c>
      <c r="C29" s="2256"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2"/>
      <c r="B30" s="50"/>
      <c r="C30" s="2257" t="s">
        <v>1956</v>
      </c>
      <c r="D30" s="1390">
        <f>SUM(D28:D29)</f>
        <v>1057.3499999999999</v>
      </c>
      <c r="E30" s="1390">
        <f>SUM(E28:E29)</f>
        <v>4769.1999999999825</v>
      </c>
      <c r="F30" s="1390">
        <f>SUM(F28:F29)</f>
        <v>2096.1999999999825</v>
      </c>
      <c r="G30" s="1392">
        <f>SUM(G28:G29)</f>
        <v>2673</v>
      </c>
      <c r="H30" s="1389"/>
      <c r="I30" s="1389"/>
      <c r="J30" s="1389"/>
      <c r="K30" s="1389"/>
      <c r="L30" s="1389"/>
      <c r="M30" s="1389"/>
      <c r="N30" s="1389"/>
      <c r="O30" s="1389"/>
      <c r="P30" s="1389"/>
    </row>
    <row r="31" spans="1:19" ht="15.75" thickBot="1">
      <c r="A31" s="2258"/>
      <c r="B31" s="2259"/>
      <c r="C31" s="1005" t="s">
        <v>1960</v>
      </c>
      <c r="D31" s="728">
        <f>D27+D30</f>
        <v>30136.12</v>
      </c>
      <c r="E31" s="728">
        <f>E27+E30</f>
        <v>135929.18</v>
      </c>
      <c r="F31" s="729">
        <f>F27+F30</f>
        <v>108021.23999999999</v>
      </c>
      <c r="G31" s="730">
        <f>G27+G30</f>
        <v>27907.94</v>
      </c>
      <c r="H31" s="1389"/>
      <c r="I31" s="1389"/>
      <c r="J31" s="1389"/>
      <c r="K31" s="1389"/>
      <c r="L31" s="1389"/>
      <c r="M31" s="1389"/>
      <c r="N31" s="1389"/>
      <c r="O31" s="1389"/>
      <c r="P31" s="1389"/>
    </row>
    <row r="32" spans="1:19">
      <c r="A32" s="2223"/>
      <c r="B32" s="2223" t="s">
        <v>1961</v>
      </c>
      <c r="C32" s="2223"/>
      <c r="D32" s="2223"/>
      <c r="E32" s="1272">
        <f>SUMIF(C19:C26,"*住宅*",E19:E26)</f>
        <v>0</v>
      </c>
      <c r="F32" s="2223"/>
      <c r="G32" s="2223"/>
      <c r="H32" s="1389"/>
      <c r="I32" s="1389"/>
      <c r="J32" s="1389"/>
      <c r="K32" s="1389"/>
      <c r="L32" s="1389"/>
      <c r="M32" s="1389"/>
      <c r="N32" s="1389"/>
      <c r="O32" s="1389"/>
      <c r="P32" s="1389"/>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H6" activePane="bottomRight" state="frozen"/>
      <selection activeCell="C50" sqref="C50"/>
      <selection pane="topRight" activeCell="C50" sqref="C50"/>
      <selection pane="bottomLeft" activeCell="C50" sqref="C50"/>
      <selection pane="bottomRight" activeCell="O20" sqref="O20:P20"/>
    </sheetView>
  </sheetViews>
  <sheetFormatPr defaultColWidth="13.625" defaultRowHeight="12.75"/>
  <cols>
    <col min="1" max="1" width="20.875" style="2334" customWidth="1"/>
    <col min="2" max="2" width="12" style="2264" customWidth="1"/>
    <col min="3" max="3" width="10.62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4" width="6.625" style="2264" customWidth="1"/>
    <col min="25" max="25" width="8.5" style="2264" customWidth="1"/>
    <col min="26" max="29" width="6.625" style="2264" hidden="1" customWidth="1"/>
    <col min="30" max="30" width="2" style="2264" hidden="1" customWidth="1"/>
    <col min="31" max="31" width="8" style="2264" customWidth="1"/>
    <col min="32" max="34" width="7.125" style="2264" customWidth="1"/>
    <col min="35" max="39" width="8" style="2264" customWidth="1"/>
    <col min="40" max="40" width="13.625" style="2263"/>
    <col min="41" max="41" width="11.625" style="2263" customWidth="1"/>
    <col min="42" max="42" width="9.625" style="2263" customWidth="1"/>
    <col min="43" max="67" width="13.625" style="2263"/>
    <col min="68" max="16384" width="13.625" style="2264"/>
  </cols>
  <sheetData>
    <row r="1" spans="1:67" ht="19.5" thickBot="1">
      <c r="A1" s="2261" t="s">
        <v>1962</v>
      </c>
      <c r="B1" s="731"/>
      <c r="C1" s="1577"/>
      <c r="D1" s="2262"/>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5" t="s">
        <v>1963</v>
      </c>
      <c r="B2" s="1264">
        <f>项目基本情况!D3</f>
        <v>43424</v>
      </c>
      <c r="C2" s="2266"/>
      <c r="D2" s="2267"/>
      <c r="E2" s="2266"/>
      <c r="F2" s="2266"/>
      <c r="G2" s="2266"/>
      <c r="H2" s="2266"/>
      <c r="I2" s="2266"/>
      <c r="J2" s="2266"/>
      <c r="K2" s="1424"/>
      <c r="L2" s="1424"/>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7" customFormat="1" ht="15" thickBot="1">
      <c r="A3" s="2025"/>
      <c r="B3" s="2269"/>
      <c r="C3" s="2266"/>
      <c r="D3" s="2267"/>
      <c r="E3" s="2266"/>
      <c r="F3" s="2266"/>
      <c r="G3" s="2266"/>
      <c r="H3" s="2266"/>
      <c r="I3" s="2266"/>
      <c r="J3" s="2266"/>
      <c r="K3" s="1424"/>
      <c r="L3" s="1424"/>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7" customFormat="1" ht="15" thickBot="1">
      <c r="A4" s="68"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4" t="s">
        <v>1968</v>
      </c>
      <c r="AA4" s="2234"/>
      <c r="AB4" s="2234"/>
      <c r="AC4" s="2234"/>
      <c r="AD4" s="2234"/>
      <c r="AE4" s="2232" t="s">
        <v>1969</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8" customFormat="1" ht="42">
      <c r="A5" s="2278" t="s">
        <v>1970</v>
      </c>
      <c r="B5" s="2279" t="s">
        <v>1971</v>
      </c>
      <c r="C5" s="2280" t="s">
        <v>1972</v>
      </c>
      <c r="D5" s="2281" t="s">
        <v>1973</v>
      </c>
      <c r="E5" s="1266" t="s">
        <v>1974</v>
      </c>
      <c r="F5" s="2282" t="s">
        <v>1975</v>
      </c>
      <c r="G5" s="1266" t="s">
        <v>1976</v>
      </c>
      <c r="H5" s="1266" t="s">
        <v>1977</v>
      </c>
      <c r="I5" s="1266" t="s">
        <v>1978</v>
      </c>
      <c r="J5" s="2283" t="s">
        <v>1979</v>
      </c>
      <c r="K5" s="2284" t="s">
        <v>1980</v>
      </c>
      <c r="L5" s="2285" t="s">
        <v>1981</v>
      </c>
      <c r="M5" s="2286" t="s">
        <v>1982</v>
      </c>
      <c r="N5" s="2287" t="s">
        <v>1983</v>
      </c>
      <c r="O5" s="2285" t="s">
        <v>1984</v>
      </c>
      <c r="P5" s="2288" t="s">
        <v>1985</v>
      </c>
      <c r="Q5" s="69" t="s">
        <v>1986</v>
      </c>
      <c r="R5" s="2289" t="s">
        <v>1987</v>
      </c>
      <c r="S5" s="2290" t="s">
        <v>1988</v>
      </c>
      <c r="T5" s="2291" t="s">
        <v>1989</v>
      </c>
      <c r="U5" s="1265" t="s">
        <v>1990</v>
      </c>
      <c r="V5" s="1266" t="s">
        <v>1991</v>
      </c>
      <c r="W5" s="1266" t="s">
        <v>1992</v>
      </c>
      <c r="X5" s="71"/>
      <c r="Y5" s="70" t="s">
        <v>1993</v>
      </c>
      <c r="Z5" s="2292" t="s">
        <v>1990</v>
      </c>
      <c r="AA5" s="1266" t="s">
        <v>1991</v>
      </c>
      <c r="AB5" s="1266" t="s">
        <v>1992</v>
      </c>
      <c r="AC5" s="71"/>
      <c r="AD5" s="71" t="s">
        <v>1993</v>
      </c>
      <c r="AE5" s="1265" t="s">
        <v>1994</v>
      </c>
      <c r="AF5" s="1266" t="s">
        <v>1995</v>
      </c>
      <c r="AG5" s="70" t="s">
        <v>1996</v>
      </c>
      <c r="AH5" s="1265" t="s">
        <v>1997</v>
      </c>
      <c r="AI5" s="2292" t="s">
        <v>1998</v>
      </c>
      <c r="AJ5" s="2292" t="s">
        <v>1999</v>
      </c>
      <c r="AK5" s="1266" t="s">
        <v>2000</v>
      </c>
      <c r="AL5" s="1266" t="s">
        <v>2001</v>
      </c>
      <c r="AM5" s="70" t="s">
        <v>2002</v>
      </c>
      <c r="AN5" s="2293" t="s">
        <v>2003</v>
      </c>
      <c r="AO5" s="2067" t="s">
        <v>2004</v>
      </c>
      <c r="AP5" s="1247" t="s">
        <v>2005</v>
      </c>
      <c r="AQ5" s="2294" t="s">
        <v>2006</v>
      </c>
      <c r="AR5" s="2294" t="s">
        <v>2007</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7" customFormat="1" ht="14.25">
      <c r="A6" s="2295" t="str">
        <f>'数据-汇总表'!C19</f>
        <v>高层</v>
      </c>
      <c r="B6" s="2296" t="str">
        <f>IF(A6=0,"","经营性")</f>
        <v>经营性</v>
      </c>
      <c r="C6" s="2297" t="s">
        <v>3072</v>
      </c>
      <c r="D6" s="1049">
        <f>SUMIF(项目基本情况!D$12:I$12,C6,项目基本情况!D$14:I$14)</f>
        <v>70</v>
      </c>
      <c r="E6" s="1046">
        <f>IF(B6="","",SUMIF(项目基本情况!D$12:I$12,C6,项目基本情况!D$13:I$13))</f>
        <v>68186</v>
      </c>
      <c r="F6" s="72">
        <f>SUMIF(项目基本情况!D$12:I$12,C6,项目基本情况!D$15:I$15)</f>
        <v>67.84</v>
      </c>
      <c r="G6" s="73">
        <f>IF(ISERROR(ROUND(POWER(1+H6,D6-F6)*(POWER(1+H6,F6)-1)/(POWER(1+H6,D6)-1),3)),0,ROUND(POWER(1+H6,D6-F6)*(POWER(1+H6,F6)-1)/(POWER(1+H6,D6)-1),3))</f>
        <v>0.995</v>
      </c>
      <c r="H6" s="801">
        <v>4.4999999999999998E-2</v>
      </c>
      <c r="I6" s="801">
        <v>5.5E-2</v>
      </c>
      <c r="J6" s="74">
        <v>8.5000000000000006E-2</v>
      </c>
      <c r="K6" s="1249">
        <f>SUMIF('数据-汇总表'!C$19:C$33,A6,'数据-汇总表'!E$19:E$33)</f>
        <v>81010.510000000009</v>
      </c>
      <c r="L6" s="802">
        <v>2600</v>
      </c>
      <c r="M6" s="75">
        <f t="shared" ref="M6:M14" si="0">ROUND(K6*L6/10000,0)</f>
        <v>21063</v>
      </c>
      <c r="N6" s="800">
        <v>0</v>
      </c>
      <c r="O6" s="75">
        <f>IF($N$5="成新度","——",ROUND(M6*N6,0))</f>
        <v>0</v>
      </c>
      <c r="P6" s="76">
        <f>IF($N$5="成新度","——",M6-O6)</f>
        <v>21063</v>
      </c>
      <c r="Q6" s="803">
        <v>0.15</v>
      </c>
      <c r="R6" s="77">
        <f ca="1">SUMIF('数据-汇总表'!C$19:C$33,A6,'数据-汇总表'!R$19:R$27)</f>
        <v>18613.47</v>
      </c>
      <c r="S6" s="54">
        <f>IF('数据-汇总表'!$I$17="按面积比例",SUMIF('数据-汇总表'!C$19:C$33,A6,'数据-汇总表'!K$19:K$33),SUMIF('数据-汇总表'!C$19:C$33,A6,'数据-汇总表'!N$19:N$33))</f>
        <v>2945.68</v>
      </c>
      <c r="T6" s="1440">
        <f>ROUND($L$14*S6/10000,0)</f>
        <v>766</v>
      </c>
      <c r="U6" s="78"/>
      <c r="V6" s="79"/>
      <c r="W6" s="79"/>
      <c r="X6" s="1259"/>
      <c r="Y6" s="80"/>
      <c r="Z6" s="81"/>
      <c r="AA6" s="74"/>
      <c r="AB6" s="74"/>
      <c r="AC6" s="1259"/>
      <c r="AD6" s="82"/>
      <c r="AE6" s="1260">
        <f ca="1">IF(AN6="",0,SUMIF(INDIRECT("'"&amp;AN6&amp;"'"&amp;"!E:E"),$AE$5,INDIRECT("'"&amp;AN6&amp;"'"&amp;"!F:F")))</f>
        <v>0</v>
      </c>
      <c r="AF6" s="1800"/>
      <c r="AG6" s="146">
        <f>IF(AF6="",0,AE6-AF6)</f>
        <v>0</v>
      </c>
      <c r="AH6" s="83"/>
      <c r="AI6" s="85"/>
      <c r="AJ6" s="86"/>
      <c r="AK6" s="87"/>
      <c r="AL6" s="88"/>
      <c r="AM6" s="89"/>
      <c r="AN6" s="2298"/>
      <c r="AO6" s="55" t="e">
        <f ca="1">SUMIF(INDIRECT("'"&amp;AN6&amp;"'"&amp;"!A:A"),"总价",INDIRECT("'"&amp;AN6&amp;"'"&amp;"!B:B"))</f>
        <v>#REF!</v>
      </c>
      <c r="AP6" s="2299">
        <f>IF(C6="住宅",K6*L6,0)</f>
        <v>210627326.00000003</v>
      </c>
      <c r="AQ6" s="55">
        <f>ROUND($L$14*$N$14*S6/10000,0)</f>
        <v>153</v>
      </c>
      <c r="AR6" s="55">
        <f>ROUND($L$14*(1-$N$14)*S6/10000,0)</f>
        <v>613</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7" customFormat="1" ht="14.25">
      <c r="A7" s="2295" t="str">
        <f>'数据-汇总表'!C20</f>
        <v>独立商业</v>
      </c>
      <c r="B7" s="2296" t="str">
        <f t="shared" ref="B7:B13" si="1">IF(A7=0,"","经营性")</f>
        <v>经营性</v>
      </c>
      <c r="C7" s="2297" t="s">
        <v>1377</v>
      </c>
      <c r="D7" s="1049">
        <f>SUMIF(项目基本情况!D$12:I$12,C7,项目基本情况!D$14:I$14)</f>
        <v>40</v>
      </c>
      <c r="E7" s="1046">
        <f>IF(B7="","",SUMIF(项目基本情况!D$12:I$12,C7,项目基本情况!D$13:I$13))</f>
        <v>57229</v>
      </c>
      <c r="F7" s="72">
        <f>SUMIF(项目基本情况!D$12:I$12,C7,项目基本情况!D$15:I$15)</f>
        <v>37.82</v>
      </c>
      <c r="G7" s="73">
        <f t="shared" ref="G7:G11" si="2">IF(ISERROR(ROUND(POWER(1+H7,D7-F7)*(POWER(1+H7,F7)-1)/(POWER(1+H7,D7)-1),3)),0,ROUND(POWER(1+H7,D7-F7)*(POWER(1+H7,F7)-1)/(POWER(1+H7,D7)-1),3))</f>
        <v>0.98099999999999998</v>
      </c>
      <c r="H7" s="801">
        <v>0.05</v>
      </c>
      <c r="I7" s="801">
        <v>0.06</v>
      </c>
      <c r="J7" s="74">
        <v>8.5000000000000006E-2</v>
      </c>
      <c r="K7" s="1249">
        <f>SUMIF('数据-汇总表'!C$19:C$33,A7,'数据-汇总表'!E$19:E$33)</f>
        <v>10838.060000000001</v>
      </c>
      <c r="L7" s="802">
        <v>4000</v>
      </c>
      <c r="M7" s="75">
        <f t="shared" si="0"/>
        <v>4335</v>
      </c>
      <c r="N7" s="800">
        <v>0</v>
      </c>
      <c r="O7" s="75">
        <f t="shared" ref="O7:O14" si="3">IF($N$5="成新度","——",ROUND(M7*N7,0))</f>
        <v>0</v>
      </c>
      <c r="P7" s="76">
        <f t="shared" ref="P7:P14" si="4">IF($N$5="成新度","——",M7-O7)</f>
        <v>4335</v>
      </c>
      <c r="Q7" s="803">
        <v>0.2</v>
      </c>
      <c r="R7" s="77">
        <f ca="1">SUMIF('数据-汇总表'!C$19:C$33,A7,'数据-汇总表'!R$19:R$27)</f>
        <v>2490.2199999999998</v>
      </c>
      <c r="S7" s="54">
        <f>IF('数据-汇总表'!$I$17="按面积比例",SUMIF('数据-汇总表'!C$19:C$33,A7,'数据-汇总表'!K$19:K$33),SUMIF('数据-汇总表'!C$19:C$33,A7,'数据-汇总表'!N$19:N$33))</f>
        <v>394.09</v>
      </c>
      <c r="T7" s="1440">
        <f t="shared" ref="T7:T13" si="5">ROUND($L$14*S7/10000,0)</f>
        <v>102</v>
      </c>
      <c r="U7" s="2985">
        <v>3.5</v>
      </c>
      <c r="V7" s="79">
        <v>0.03</v>
      </c>
      <c r="W7" s="79">
        <v>0.1</v>
      </c>
      <c r="X7" s="1259"/>
      <c r="Y7" s="80">
        <v>1</v>
      </c>
      <c r="Z7" s="81"/>
      <c r="AA7" s="74"/>
      <c r="AB7" s="74"/>
      <c r="AC7" s="1259"/>
      <c r="AD7" s="82"/>
      <c r="AE7" s="1260">
        <f t="shared" ref="AE7:AE13" ca="1" si="6">IF(AN7="",0,SUMIF(INDIRECT("'"&amp;AN7&amp;"'"&amp;"!E:E"),$AE$5,INDIRECT("'"&amp;AN7&amp;"'"&amp;"!F:F")))</f>
        <v>36.119999999999997</v>
      </c>
      <c r="AF7" s="1800"/>
      <c r="AG7" s="146">
        <f t="shared" ref="AG7:AG13" si="7">IF(AF7="",0,AE7-AF7)</f>
        <v>0</v>
      </c>
      <c r="AH7" s="83"/>
      <c r="AI7" s="85">
        <v>365</v>
      </c>
      <c r="AJ7" s="86"/>
      <c r="AK7" s="87">
        <v>1.4999999999999999E-2</v>
      </c>
      <c r="AL7" s="88">
        <v>1.5E-3</v>
      </c>
      <c r="AM7" s="89">
        <v>0.01</v>
      </c>
      <c r="AN7" s="2298" t="s">
        <v>3105</v>
      </c>
      <c r="AO7" s="55">
        <f t="shared" ref="AO7:AO13" ca="1" si="8">SUMIF(INDIRECT("'"&amp;AN7&amp;"'"&amp;"!A:A"),"总价",INDIRECT("'"&amp;AN7&amp;"'"&amp;"!B:B"))</f>
        <v>19386</v>
      </c>
      <c r="AP7" s="2299">
        <f t="shared" ref="AP7:AP13" si="9">IF(C7="住宅",K7*L7,0)</f>
        <v>0</v>
      </c>
      <c r="AQ7" s="55">
        <f t="shared" ref="AQ7:AQ13" si="10">ROUND($L$14*$N$14*S7/10000,0)</f>
        <v>20</v>
      </c>
      <c r="AR7" s="55">
        <f t="shared" ref="AR7:AR13" si="11">ROUND($L$14*(1-$N$14)*S7/10000,0)</f>
        <v>82</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7" customFormat="1" ht="14.25">
      <c r="A8" s="2295" t="str">
        <f>'数据-汇总表'!C21</f>
        <v>底商</v>
      </c>
      <c r="B8" s="2296" t="str">
        <f t="shared" si="1"/>
        <v>经营性</v>
      </c>
      <c r="C8" s="2297" t="s">
        <v>1377</v>
      </c>
      <c r="D8" s="1049">
        <f>SUMIF(项目基本情况!D$12:I$12,C8,项目基本情况!D$14:I$14)</f>
        <v>40</v>
      </c>
      <c r="E8" s="1046">
        <f>IF(B8="","",SUMIF(项目基本情况!D$12:I$12,C8,项目基本情况!D$13:I$13))</f>
        <v>57229</v>
      </c>
      <c r="F8" s="72">
        <f>SUMIF(项目基本情况!D$12:I$12,C8,项目基本情况!D$15:I$15)</f>
        <v>37.82</v>
      </c>
      <c r="G8" s="73">
        <f t="shared" si="2"/>
        <v>0.98099999999999998</v>
      </c>
      <c r="H8" s="801">
        <v>0.05</v>
      </c>
      <c r="I8" s="801">
        <v>0.06</v>
      </c>
      <c r="J8" s="74">
        <v>8.5000000000000006E-2</v>
      </c>
      <c r="K8" s="1249">
        <f>SUMIF('数据-汇总表'!C$19:C$33,A8,'数据-汇总表'!E$19:E$33)</f>
        <v>4990.1900000000005</v>
      </c>
      <c r="L8" s="802">
        <v>2600</v>
      </c>
      <c r="M8" s="75">
        <f>ROUND(K8*L8/10000,0)</f>
        <v>1297</v>
      </c>
      <c r="N8" s="800">
        <v>0</v>
      </c>
      <c r="O8" s="75">
        <f t="shared" si="3"/>
        <v>0</v>
      </c>
      <c r="P8" s="76">
        <f t="shared" si="4"/>
        <v>1297</v>
      </c>
      <c r="Q8" s="803">
        <v>0.25</v>
      </c>
      <c r="R8" s="77">
        <f ca="1">SUMIF('数据-汇总表'!C$19:C$33,A8,'数据-汇总表'!R$19:R$27)</f>
        <v>1146.58</v>
      </c>
      <c r="S8" s="54">
        <f>IF('数据-汇总表'!$I$17="按面积比例",SUMIF('数据-汇总表'!C$19:C$33,A8,'数据-汇总表'!K$19:K$33),SUMIF('数据-汇总表'!C$19:C$33,A8,'数据-汇总表'!N$19:N$33))</f>
        <v>181.45</v>
      </c>
      <c r="T8" s="1440">
        <f t="shared" si="5"/>
        <v>47</v>
      </c>
      <c r="U8" s="2986">
        <v>5</v>
      </c>
      <c r="V8" s="804">
        <v>0.03</v>
      </c>
      <c r="W8" s="804">
        <v>0.1</v>
      </c>
      <c r="X8" s="1259"/>
      <c r="Y8" s="805">
        <v>1</v>
      </c>
      <c r="Z8" s="81"/>
      <c r="AA8" s="74"/>
      <c r="AB8" s="74"/>
      <c r="AC8" s="1259"/>
      <c r="AD8" s="82"/>
      <c r="AE8" s="1260">
        <f t="shared" ca="1" si="6"/>
        <v>36.119999999999997</v>
      </c>
      <c r="AF8" s="1800"/>
      <c r="AG8" s="146">
        <f t="shared" si="7"/>
        <v>0</v>
      </c>
      <c r="AH8" s="806"/>
      <c r="AI8" s="85">
        <v>365</v>
      </c>
      <c r="AJ8" s="86"/>
      <c r="AK8" s="87">
        <v>1.4999999999999999E-2</v>
      </c>
      <c r="AL8" s="88">
        <v>1.5E-3</v>
      </c>
      <c r="AM8" s="89">
        <v>0.01</v>
      </c>
      <c r="AN8" s="2298" t="s">
        <v>3106</v>
      </c>
      <c r="AO8" s="55">
        <f t="shared" ca="1" si="8"/>
        <v>13577</v>
      </c>
      <c r="AP8" s="2299">
        <f t="shared" si="9"/>
        <v>0</v>
      </c>
      <c r="AQ8" s="55">
        <f t="shared" si="10"/>
        <v>9</v>
      </c>
      <c r="AR8" s="55">
        <f t="shared" si="11"/>
        <v>38</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7" customFormat="1" ht="14.25">
      <c r="A9" s="2295" t="str">
        <f>'数据-汇总表'!C22</f>
        <v>地下车库</v>
      </c>
      <c r="B9" s="2296" t="str">
        <f t="shared" si="1"/>
        <v>经营性</v>
      </c>
      <c r="C9" s="2297" t="s">
        <v>3076</v>
      </c>
      <c r="D9" s="1049">
        <f>SUMIF(项目基本情况!D$12:I$12,C9,项目基本情况!D$14:I$14)</f>
        <v>50</v>
      </c>
      <c r="E9" s="1046">
        <f>IF(B9="","",SUMIF(项目基本情况!D$12:I$12,C9,项目基本情况!D$13:I$13))</f>
        <v>60881</v>
      </c>
      <c r="F9" s="72">
        <f>SUMIF(项目基本情况!D$12:I$12,C9,项目基本情况!D$15:I$15)</f>
        <v>47.82</v>
      </c>
      <c r="G9" s="73">
        <f t="shared" si="2"/>
        <v>0.98699999999999999</v>
      </c>
      <c r="H9" s="74">
        <v>4.4999999999999998E-2</v>
      </c>
      <c r="I9" s="74">
        <v>5.5E-2</v>
      </c>
      <c r="J9" s="74">
        <v>8.5000000000000006E-2</v>
      </c>
      <c r="K9" s="1249">
        <f>SUMIF('数据-汇总表'!C$19:C$33,A9,'数据-汇总表'!E$19:E$33)</f>
        <v>25234.94</v>
      </c>
      <c r="L9" s="802">
        <v>2600</v>
      </c>
      <c r="M9" s="75">
        <f t="shared" si="0"/>
        <v>6561</v>
      </c>
      <c r="N9" s="800">
        <v>0</v>
      </c>
      <c r="O9" s="75">
        <f t="shared" si="3"/>
        <v>0</v>
      </c>
      <c r="P9" s="76">
        <f t="shared" si="4"/>
        <v>6561</v>
      </c>
      <c r="Q9" s="90">
        <v>0.03</v>
      </c>
      <c r="R9" s="77">
        <f ca="1">SUMIF('数据-汇总表'!C$19:C$33,A9,'数据-汇总表'!R$19:R$27)</f>
        <v>5798.13</v>
      </c>
      <c r="S9" s="54">
        <f>IF('数据-汇总表'!$I$17="按面积比例",SUMIF('数据-汇总表'!C$19:C$33,A9,'数据-汇总表'!K$19:K$33),SUMIF('数据-汇总表'!C$19:C$33,A9,'数据-汇总表'!N$19:N$33))</f>
        <v>917.59</v>
      </c>
      <c r="T9" s="1440">
        <f t="shared" si="5"/>
        <v>239</v>
      </c>
      <c r="U9" s="2985">
        <v>0.8</v>
      </c>
      <c r="V9" s="79">
        <v>0.03</v>
      </c>
      <c r="W9" s="79">
        <v>0.1</v>
      </c>
      <c r="X9" s="1259"/>
      <c r="Y9" s="80">
        <v>1</v>
      </c>
      <c r="Z9" s="81"/>
      <c r="AA9" s="74"/>
      <c r="AB9" s="74"/>
      <c r="AC9" s="1259"/>
      <c r="AD9" s="82"/>
      <c r="AE9" s="1260">
        <f t="shared" ca="1" si="6"/>
        <v>46.12</v>
      </c>
      <c r="AF9" s="1800"/>
      <c r="AG9" s="146">
        <f t="shared" si="7"/>
        <v>0</v>
      </c>
      <c r="AH9" s="83"/>
      <c r="AI9" s="85">
        <v>365</v>
      </c>
      <c r="AJ9" s="86"/>
      <c r="AK9" s="87">
        <v>1.4999999999999999E-2</v>
      </c>
      <c r="AL9" s="88">
        <v>1.5E-3</v>
      </c>
      <c r="AM9" s="89">
        <v>0.01</v>
      </c>
      <c r="AN9" s="2298" t="s">
        <v>3107</v>
      </c>
      <c r="AO9" s="55">
        <f t="shared" ca="1" si="8"/>
        <v>10171</v>
      </c>
      <c r="AP9" s="2299">
        <f t="shared" si="9"/>
        <v>0</v>
      </c>
      <c r="AQ9" s="55">
        <f t="shared" si="10"/>
        <v>48</v>
      </c>
      <c r="AR9" s="55">
        <f t="shared" si="11"/>
        <v>191</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7" customFormat="1" ht="14.25">
      <c r="A10" s="2295" t="str">
        <f>'数据-汇总表'!C23</f>
        <v>7号楼</v>
      </c>
      <c r="B10" s="2296" t="str">
        <f t="shared" si="1"/>
        <v>经营性</v>
      </c>
      <c r="C10" s="2297" t="s">
        <v>3072</v>
      </c>
      <c r="D10" s="1049">
        <f>SUMIF(项目基本情况!D$12:I$12,C10,项目基本情况!D$14:I$14)</f>
        <v>70</v>
      </c>
      <c r="E10" s="1046">
        <f>IF(B10="","",SUMIF(项目基本情况!D$12:I$12,C10,项目基本情况!D$13:I$13))</f>
        <v>68186</v>
      </c>
      <c r="F10" s="72">
        <f>SUMIF(项目基本情况!D$12:I$12,C10,项目基本情况!D$15:I$15)</f>
        <v>67.84</v>
      </c>
      <c r="G10" s="73">
        <f t="shared" si="2"/>
        <v>0.995</v>
      </c>
      <c r="H10" s="74">
        <f>H6</f>
        <v>4.4999999999999998E-2</v>
      </c>
      <c r="I10" s="74">
        <f>I6</f>
        <v>5.5E-2</v>
      </c>
      <c r="J10" s="74">
        <f>J6</f>
        <v>8.5000000000000006E-2</v>
      </c>
      <c r="K10" s="1249">
        <f>SUMIF('数据-汇总表'!C$19:C$33,A10,'数据-汇总表'!E$19:E$33)</f>
        <v>9086.2800000000007</v>
      </c>
      <c r="L10" s="802">
        <f>L6</f>
        <v>2600</v>
      </c>
      <c r="M10" s="75">
        <f t="shared" si="0"/>
        <v>2362</v>
      </c>
      <c r="N10" s="800">
        <v>0.5</v>
      </c>
      <c r="O10" s="75">
        <f t="shared" si="3"/>
        <v>1181</v>
      </c>
      <c r="P10" s="76">
        <f t="shared" si="4"/>
        <v>1181</v>
      </c>
      <c r="Q10" s="90">
        <f>Q6</f>
        <v>0.15</v>
      </c>
      <c r="R10" s="77">
        <f ca="1">SUMIF('数据-汇总表'!C$19:C$33,A10,'数据-汇总表'!R$19:R$27)</f>
        <v>2087.7200000000003</v>
      </c>
      <c r="S10" s="54">
        <f>IF('数据-汇总表'!$I$17="按面积比例",SUMIF('数据-汇总表'!C$19:C$33,A10,'数据-汇总表'!K$19:K$33),SUMIF('数据-汇总表'!C$19:C$33,A10,'数据-汇总表'!N$19:N$33))</f>
        <v>330.39</v>
      </c>
      <c r="T10" s="1440">
        <f t="shared" si="5"/>
        <v>86</v>
      </c>
      <c r="U10" s="78"/>
      <c r="V10" s="79"/>
      <c r="W10" s="79"/>
      <c r="X10" s="1259"/>
      <c r="Y10" s="80"/>
      <c r="Z10" s="81"/>
      <c r="AA10" s="74"/>
      <c r="AB10" s="74"/>
      <c r="AC10" s="1259"/>
      <c r="AD10" s="82"/>
      <c r="AE10" s="1260">
        <f t="shared" ca="1" si="6"/>
        <v>0</v>
      </c>
      <c r="AF10" s="1800"/>
      <c r="AG10" s="146">
        <f t="shared" si="7"/>
        <v>0</v>
      </c>
      <c r="AH10" s="83"/>
      <c r="AI10" s="85"/>
      <c r="AJ10" s="86"/>
      <c r="AK10" s="87"/>
      <c r="AL10" s="88"/>
      <c r="AM10" s="89"/>
      <c r="AN10" s="2298"/>
      <c r="AO10" s="55" t="e">
        <f t="shared" ca="1" si="8"/>
        <v>#REF!</v>
      </c>
      <c r="AP10" s="2299">
        <f t="shared" si="9"/>
        <v>23624328</v>
      </c>
      <c r="AQ10" s="55">
        <f t="shared" si="10"/>
        <v>17</v>
      </c>
      <c r="AR10" s="55">
        <f t="shared" si="11"/>
        <v>69</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7" customFormat="1" ht="14.25">
      <c r="A11" s="2295">
        <f>'数据-汇总表'!C24</f>
        <v>0</v>
      </c>
      <c r="B11" s="2296" t="str">
        <f t="shared" si="1"/>
        <v/>
      </c>
      <c r="C11" s="2297"/>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800"/>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2"/>
      <c r="AA11" s="74"/>
      <c r="AB11" s="74"/>
      <c r="AC11" s="1259"/>
      <c r="AD11" s="82"/>
      <c r="AE11" s="1260">
        <f t="shared" ca="1" si="6"/>
        <v>0</v>
      </c>
      <c r="AF11" s="1800"/>
      <c r="AG11" s="146">
        <f t="shared" si="7"/>
        <v>0</v>
      </c>
      <c r="AH11" s="83"/>
      <c r="AI11" s="85"/>
      <c r="AJ11" s="86"/>
      <c r="AK11" s="93"/>
      <c r="AL11" s="94"/>
      <c r="AM11" s="95"/>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7" customFormat="1" ht="14.25">
      <c r="A12" s="2295">
        <f>'数据-汇总表'!C25</f>
        <v>0</v>
      </c>
      <c r="B12" s="2296" t="str">
        <f t="shared" si="1"/>
        <v/>
      </c>
      <c r="C12" s="229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800"/>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2"/>
      <c r="AA12" s="74"/>
      <c r="AB12" s="74"/>
      <c r="AC12" s="1259"/>
      <c r="AD12" s="82"/>
      <c r="AE12" s="1260">
        <f t="shared" ca="1" si="6"/>
        <v>0</v>
      </c>
      <c r="AF12" s="1800"/>
      <c r="AG12" s="146">
        <f t="shared" si="7"/>
        <v>0</v>
      </c>
      <c r="AH12" s="83"/>
      <c r="AI12" s="85"/>
      <c r="AJ12" s="86"/>
      <c r="AK12" s="93"/>
      <c r="AL12" s="94"/>
      <c r="AM12" s="95"/>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7" customFormat="1" ht="14.25">
      <c r="A13" s="2295">
        <f>'数据-汇总表'!C26</f>
        <v>0</v>
      </c>
      <c r="B13" s="2296" t="str">
        <f t="shared" si="1"/>
        <v/>
      </c>
      <c r="C13" s="229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800"/>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0"/>
      <c r="AG13" s="146">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7" customFormat="1" ht="14.25">
      <c r="A14" s="2300" t="s">
        <v>2008</v>
      </c>
      <c r="B14" s="2296" t="s">
        <v>2009</v>
      </c>
      <c r="C14" s="2301" t="s">
        <v>2008</v>
      </c>
      <c r="D14" s="1049"/>
      <c r="E14" s="1046"/>
      <c r="F14" s="72"/>
      <c r="G14" s="73"/>
      <c r="H14" s="1248"/>
      <c r="I14" s="1248"/>
      <c r="J14" s="1248"/>
      <c r="K14" s="1249">
        <f>SUMIF('数据-汇总表'!C$19:C$33,A14,'数据-汇总表'!E$19:E$33)</f>
        <v>4769.1999999999825</v>
      </c>
      <c r="L14" s="91">
        <v>2600</v>
      </c>
      <c r="M14" s="75">
        <f t="shared" si="0"/>
        <v>1240</v>
      </c>
      <c r="N14" s="800">
        <v>0.2</v>
      </c>
      <c r="O14" s="75">
        <f t="shared" si="3"/>
        <v>248</v>
      </c>
      <c r="P14" s="76">
        <f t="shared" si="4"/>
        <v>992</v>
      </c>
      <c r="Q14" s="1252"/>
      <c r="R14" s="77"/>
      <c r="S14" s="54"/>
      <c r="T14" s="1440"/>
      <c r="U14" s="722"/>
      <c r="V14" s="1254"/>
      <c r="W14" s="1254"/>
      <c r="X14" s="1255"/>
      <c r="Y14" s="1256"/>
      <c r="Z14" s="1257"/>
      <c r="AA14" s="1258"/>
      <c r="AB14" s="1258"/>
      <c r="AC14" s="1259"/>
      <c r="AD14" s="1255"/>
      <c r="AE14" s="1260"/>
      <c r="AF14" s="55"/>
      <c r="AG14" s="146"/>
      <c r="AH14" s="1260"/>
      <c r="AI14" s="1811"/>
      <c r="AJ14" s="772"/>
      <c r="AK14" s="1261"/>
      <c r="AL14" s="1262"/>
      <c r="AM14" s="1263"/>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7" customFormat="1" ht="27">
      <c r="A15" s="2300" t="s">
        <v>2010</v>
      </c>
      <c r="B15" s="2296" t="s">
        <v>2009</v>
      </c>
      <c r="C15" s="2301" t="s">
        <v>2011</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1"/>
      <c r="AJ15" s="772"/>
      <c r="AK15" s="1261"/>
      <c r="AL15" s="1262"/>
      <c r="AM15" s="1263"/>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7" customFormat="1" ht="15.75" thickBot="1">
      <c r="A16" s="2302" t="s">
        <v>2012</v>
      </c>
      <c r="B16" s="96"/>
      <c r="C16" s="1003"/>
      <c r="D16" s="2303"/>
      <c r="E16" s="96"/>
      <c r="F16" s="96"/>
      <c r="G16" s="97">
        <f>ROUND(SUMPRODUCT(G6:G13,K6:K13)/SUMPRODUCT((G6:G13&gt;0)*(K6:K13)),3)</f>
        <v>0.99199999999999999</v>
      </c>
      <c r="H16" s="98">
        <f>ROUND(SUMPRODUCT(H6:H13,K6:K13)/SUMPRODUCT((H6:H13&gt;0)*(K6:K13)),3)</f>
        <v>4.5999999999999999E-2</v>
      </c>
      <c r="I16" s="99"/>
      <c r="J16" s="99"/>
      <c r="K16" s="100">
        <f>SUM(K6:K15)</f>
        <v>135929.18</v>
      </c>
      <c r="L16" s="101">
        <f>ROUND(M16*10000/SUM(K6:K14),0)</f>
        <v>2712</v>
      </c>
      <c r="M16" s="101">
        <f>SUM(M6:M14)</f>
        <v>36858</v>
      </c>
      <c r="N16" s="102">
        <f>ROUND(SUMPRODUCT(M6:M14,N6:N14)/M16,3)</f>
        <v>3.9E-2</v>
      </c>
      <c r="O16" s="101">
        <f>SUM(O6:O14)</f>
        <v>1429</v>
      </c>
      <c r="P16" s="101">
        <f>SUM(P6:P14)</f>
        <v>35429</v>
      </c>
      <c r="Q16" s="103">
        <f>ROUND(SUMPRODUCT(Q6:Q13,K6:K13)/SUMPRODUCT((Q6:Q13&gt;0)*(K6:K13)),2)</f>
        <v>0.13</v>
      </c>
      <c r="R16" s="1253">
        <f ca="1">SUM(R6:R13)</f>
        <v>30136.120000000006</v>
      </c>
      <c r="S16" s="104">
        <f>SUM(S6:S13)</f>
        <v>4769.2</v>
      </c>
      <c r="T16" s="105">
        <f>IF(SUMIF(T6:T13,"&lt;9E307")=M14,SUMIF(T6:T13,"&lt;9E307"),"有误，请检查")</f>
        <v>1240</v>
      </c>
      <c r="U16" s="106"/>
      <c r="V16" s="107"/>
      <c r="W16" s="107"/>
      <c r="X16" s="110"/>
      <c r="Y16" s="108"/>
      <c r="Z16" s="109"/>
      <c r="AA16" s="107"/>
      <c r="AB16" s="107"/>
      <c r="AC16" s="110"/>
      <c r="AD16" s="110"/>
      <c r="AE16" s="106"/>
      <c r="AF16" s="107"/>
      <c r="AG16" s="108"/>
      <c r="AH16" s="106"/>
      <c r="AI16" s="109"/>
      <c r="AJ16" s="109"/>
      <c r="AK16" s="107"/>
      <c r="AL16" s="107"/>
      <c r="AM16" s="108"/>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7"/>
      <c r="D17" s="2262"/>
      <c r="E17" s="2262"/>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2013</v>
      </c>
      <c r="B18" s="2269"/>
      <c r="C18" s="2266"/>
      <c r="D18" s="2267"/>
      <c r="E18" s="2266"/>
      <c r="F18" s="2266"/>
      <c r="G18" s="2266"/>
      <c r="H18" s="2266"/>
      <c r="I18" s="2266"/>
      <c r="J18" s="2266"/>
      <c r="K18" s="2953" t="s">
        <v>3082</v>
      </c>
      <c r="L18" s="3082" t="s">
        <v>3083</v>
      </c>
      <c r="M18" s="3082"/>
      <c r="N18" s="3082"/>
      <c r="O18" s="3083" t="s">
        <v>3084</v>
      </c>
      <c r="P18" s="3083"/>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5" t="s">
        <v>2014</v>
      </c>
      <c r="B19" s="111">
        <v>0</v>
      </c>
      <c r="C19" s="2266" t="s">
        <v>2015</v>
      </c>
      <c r="D19" s="2267"/>
      <c r="E19" s="2266"/>
      <c r="F19" s="2266"/>
      <c r="G19" s="2266"/>
      <c r="H19" s="2266"/>
      <c r="I19" s="2266"/>
      <c r="J19" s="2266"/>
      <c r="K19" s="2954"/>
      <c r="L19" s="2955" t="s">
        <v>3085</v>
      </c>
      <c r="M19" s="2955" t="s">
        <v>3086</v>
      </c>
      <c r="N19" s="2955" t="s">
        <v>3077</v>
      </c>
      <c r="O19" s="3084"/>
      <c r="P19" s="3084"/>
      <c r="Q19" s="1577"/>
      <c r="R19" s="1577"/>
      <c r="S19" s="2981" t="s">
        <v>3479</v>
      </c>
      <c r="T19" s="2981" t="s">
        <v>3480</v>
      </c>
      <c r="U19" s="2981" t="s">
        <v>3427</v>
      </c>
      <c r="V19" s="2982"/>
      <c r="W19" s="2981" t="s">
        <v>3428</v>
      </c>
      <c r="X19" s="2982"/>
      <c r="Y19" s="1577"/>
      <c r="Z19" s="1577"/>
      <c r="AA19" s="1577"/>
      <c r="AB19" s="1577"/>
      <c r="AC19" s="1577"/>
      <c r="AD19" s="1577"/>
      <c r="AE19" s="1577"/>
      <c r="AF19" s="1577"/>
      <c r="AG19" s="1577"/>
      <c r="AH19" s="1577"/>
      <c r="AI19" s="1577"/>
      <c r="AJ19" s="1577"/>
      <c r="AK19" s="1577"/>
      <c r="AL19" s="1577"/>
      <c r="AM19" s="1577"/>
    </row>
    <row r="20" spans="1:67" ht="14.25">
      <c r="A20" s="2306" t="s">
        <v>2016</v>
      </c>
      <c r="B20" s="112">
        <v>2.5</v>
      </c>
      <c r="C20" s="2266" t="s">
        <v>2017</v>
      </c>
      <c r="D20" s="2267"/>
      <c r="E20" s="2266"/>
      <c r="F20" s="2266"/>
      <c r="G20" s="2266"/>
      <c r="H20" s="2266"/>
      <c r="I20" s="2266"/>
      <c r="J20" s="2266"/>
      <c r="K20" s="2956" t="s">
        <v>3087</v>
      </c>
      <c r="L20" s="2956" t="s">
        <v>3088</v>
      </c>
      <c r="M20" s="2956" t="s">
        <v>3089</v>
      </c>
      <c r="N20" s="2956" t="s">
        <v>3090</v>
      </c>
      <c r="O20" s="3376" t="s">
        <v>3091</v>
      </c>
      <c r="P20" s="3377"/>
      <c r="Q20" s="1577"/>
      <c r="R20" s="1577"/>
      <c r="S20" s="2982">
        <v>1</v>
      </c>
      <c r="T20" s="2982">
        <v>1</v>
      </c>
      <c r="U20" s="2982">
        <v>4</v>
      </c>
      <c r="V20" s="2982"/>
      <c r="W20" s="2982">
        <v>6.5</v>
      </c>
      <c r="X20" s="2982"/>
      <c r="Y20" s="1577"/>
      <c r="Z20" s="1577"/>
      <c r="AA20" s="1577"/>
      <c r="AB20" s="1577"/>
      <c r="AC20" s="1577"/>
      <c r="AD20" s="1577"/>
      <c r="AE20" s="1577"/>
      <c r="AF20" s="1577"/>
      <c r="AG20" s="1577"/>
      <c r="AH20" s="1577"/>
      <c r="AI20" s="1577"/>
      <c r="AJ20" s="1577"/>
      <c r="AK20" s="1577"/>
      <c r="AL20" s="1577"/>
      <c r="AM20" s="1577"/>
    </row>
    <row r="21" spans="1:67" ht="14.25">
      <c r="A21" s="2307" t="s">
        <v>2018</v>
      </c>
      <c r="B21" s="112">
        <v>0.8</v>
      </c>
      <c r="C21" s="2266"/>
      <c r="D21" s="2267"/>
      <c r="E21" s="2266"/>
      <c r="F21" s="2266"/>
      <c r="G21" s="2266"/>
      <c r="H21" s="2266"/>
      <c r="I21" s="2266"/>
      <c r="J21" s="2266"/>
      <c r="K21" s="167"/>
      <c r="L21" s="167"/>
      <c r="M21" s="1577"/>
      <c r="N21" s="1577"/>
      <c r="O21" s="1577"/>
      <c r="P21" s="1577"/>
      <c r="Q21" s="1577"/>
      <c r="R21" s="1577"/>
      <c r="S21" s="2982">
        <v>2</v>
      </c>
      <c r="T21" s="2982">
        <v>0.6</v>
      </c>
      <c r="U21" s="2982">
        <f>T21*$U$20</f>
        <v>2.4</v>
      </c>
      <c r="V21" s="2982"/>
      <c r="W21" s="2982">
        <f>T21*$W$20</f>
        <v>3.9</v>
      </c>
      <c r="X21" s="2982"/>
      <c r="Y21" s="1577"/>
      <c r="Z21" s="1577"/>
      <c r="AA21" s="1577"/>
      <c r="AB21" s="1577"/>
      <c r="AC21" s="1577"/>
      <c r="AD21" s="1577"/>
      <c r="AE21" s="1577"/>
      <c r="AF21" s="1577"/>
      <c r="AG21" s="1577"/>
      <c r="AH21" s="1577"/>
      <c r="AI21" s="1577"/>
      <c r="AJ21" s="1577"/>
      <c r="AK21" s="1577"/>
      <c r="AL21" s="1577"/>
      <c r="AM21" s="1577"/>
    </row>
    <row r="22" spans="1:67" ht="14.25">
      <c r="A22" s="2306" t="s">
        <v>2019</v>
      </c>
      <c r="B22" s="113">
        <f>B19+B20</f>
        <v>2.5</v>
      </c>
      <c r="C22" s="2266"/>
      <c r="D22" s="2267"/>
      <c r="E22" s="2266"/>
      <c r="F22" s="2266"/>
      <c r="G22" s="2266"/>
      <c r="H22" s="2266"/>
      <c r="I22" s="2266"/>
      <c r="J22" s="2266"/>
      <c r="K22" s="167"/>
      <c r="L22" s="167"/>
      <c r="M22" s="1577"/>
      <c r="N22" s="1577"/>
      <c r="O22" s="1577"/>
      <c r="P22" s="1577"/>
      <c r="Q22" s="1577"/>
      <c r="R22" s="1577"/>
      <c r="S22" s="2982">
        <v>3</v>
      </c>
      <c r="T22" s="2982">
        <v>0.5</v>
      </c>
      <c r="U22" s="2982">
        <f t="shared" ref="U22:U23" si="12">T22*$U$20</f>
        <v>2</v>
      </c>
      <c r="V22" s="2982"/>
      <c r="W22" s="2982">
        <f t="shared" ref="W22:W23" si="13">T22*$W$20</f>
        <v>3.25</v>
      </c>
      <c r="X22" s="2982"/>
      <c r="Y22" s="1577"/>
      <c r="Z22" s="1577"/>
      <c r="AA22" s="1577"/>
      <c r="AB22" s="1577"/>
      <c r="AC22" s="1577"/>
      <c r="AD22" s="1577"/>
      <c r="AE22" s="1577"/>
      <c r="AF22" s="1577"/>
      <c r="AG22" s="1577"/>
      <c r="AH22" s="1577"/>
      <c r="AI22" s="1577"/>
      <c r="AJ22" s="1577"/>
      <c r="AK22" s="1577"/>
      <c r="AL22" s="1577"/>
      <c r="AM22" s="1577"/>
    </row>
    <row r="23" spans="1:67" ht="14.25">
      <c r="A23" s="2307" t="s">
        <v>2020</v>
      </c>
      <c r="B23" s="113">
        <f>B19+B21</f>
        <v>0.8</v>
      </c>
      <c r="C23" s="2266"/>
      <c r="D23" s="2267"/>
      <c r="E23" s="2266"/>
      <c r="F23" s="2266"/>
      <c r="G23" s="2266"/>
      <c r="H23" s="2266"/>
      <c r="I23" s="2266"/>
      <c r="J23" s="2266"/>
      <c r="K23" s="167"/>
      <c r="L23" s="167"/>
      <c r="M23" s="1577"/>
      <c r="N23" s="1577"/>
      <c r="O23" s="1577"/>
      <c r="P23" s="1577"/>
      <c r="Q23" s="1577"/>
      <c r="R23" s="1577"/>
      <c r="S23" s="2982">
        <v>4</v>
      </c>
      <c r="T23" s="2982">
        <v>0.45</v>
      </c>
      <c r="U23" s="2982">
        <f t="shared" si="12"/>
        <v>1.8</v>
      </c>
      <c r="V23" s="2982"/>
      <c r="W23" s="2982">
        <f t="shared" si="13"/>
        <v>2.9250000000000003</v>
      </c>
      <c r="X23" s="2982"/>
      <c r="Y23" s="1577"/>
      <c r="Z23" s="1577"/>
      <c r="AA23" s="1577"/>
      <c r="AB23" s="1577"/>
      <c r="AC23" s="1577"/>
      <c r="AD23" s="1577"/>
      <c r="AE23" s="1577"/>
      <c r="AF23" s="1577"/>
      <c r="AG23" s="1577"/>
      <c r="AH23" s="1577"/>
      <c r="AI23" s="1577"/>
      <c r="AJ23" s="1577"/>
      <c r="AK23" s="1577"/>
      <c r="AL23" s="1577"/>
      <c r="AM23" s="1577"/>
    </row>
    <row r="24" spans="1:67" ht="15" thickBot="1">
      <c r="A24" s="2308" t="s">
        <v>2021</v>
      </c>
      <c r="B24" s="114">
        <f>B20-B21</f>
        <v>1.7</v>
      </c>
      <c r="C24" s="2266"/>
      <c r="D24" s="2267"/>
      <c r="E24" s="2266"/>
      <c r="F24" s="2266"/>
      <c r="G24" s="2266"/>
      <c r="H24" s="2266"/>
      <c r="I24" s="2266"/>
      <c r="J24" s="2266"/>
      <c r="K24" s="167"/>
      <c r="L24" s="167"/>
      <c r="M24" s="1577"/>
      <c r="N24" s="1577"/>
      <c r="O24" s="1577"/>
      <c r="P24" s="1577"/>
      <c r="Q24" s="1577"/>
      <c r="R24" s="1577"/>
      <c r="S24" s="2982"/>
      <c r="T24" s="2982"/>
      <c r="U24" s="2982">
        <f>AVERAGE(U20:U23)</f>
        <v>2.5500000000000003</v>
      </c>
      <c r="V24" s="2982">
        <f>AVERAGE(U20:U21)</f>
        <v>3.2</v>
      </c>
      <c r="W24" s="2982">
        <f>ROUND(AVERAGE(W20:W23),1)</f>
        <v>4.0999999999999996</v>
      </c>
      <c r="X24" s="2982">
        <f>ROUND(AVERAGE(W20:W21),1)</f>
        <v>5.2</v>
      </c>
      <c r="Y24" s="1577"/>
      <c r="Z24" s="1577"/>
      <c r="AA24" s="1577"/>
      <c r="AB24" s="1577"/>
      <c r="AC24" s="1577"/>
      <c r="AD24" s="1577"/>
      <c r="AE24" s="1577"/>
      <c r="AF24" s="1577"/>
      <c r="AG24" s="1577"/>
      <c r="AH24" s="1577"/>
      <c r="AI24" s="1577"/>
      <c r="AJ24" s="1577"/>
      <c r="AK24" s="1577"/>
      <c r="AL24" s="1577"/>
      <c r="AM24" s="1577"/>
    </row>
    <row r="25" spans="1:67" ht="15" thickBot="1">
      <c r="A25" s="2025"/>
      <c r="B25" s="2269"/>
      <c r="C25" s="2266"/>
      <c r="D25" s="2267"/>
      <c r="E25" s="2266"/>
      <c r="F25" s="2266"/>
      <c r="G25" s="2266"/>
      <c r="H25" s="2266"/>
      <c r="I25" s="2266"/>
      <c r="J25" s="2266"/>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5" t="s">
        <v>2022</v>
      </c>
      <c r="B26" s="2309" t="s">
        <v>2023</v>
      </c>
      <c r="C26" s="2310" t="s">
        <v>2024</v>
      </c>
      <c r="D26" s="2267"/>
      <c r="E26" s="2266"/>
      <c r="F26" s="2266"/>
      <c r="G26" s="2266"/>
      <c r="H26" s="2266"/>
      <c r="I26" s="2266"/>
      <c r="J26" s="2266"/>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3" customFormat="1" ht="27.75">
      <c r="A27" s="2311" t="s">
        <v>2025</v>
      </c>
      <c r="B27" s="115">
        <v>220</v>
      </c>
      <c r="C27" s="1760" t="s">
        <v>3092</v>
      </c>
      <c r="D27" s="2312"/>
      <c r="E27" s="1424"/>
      <c r="F27" s="1424"/>
      <c r="G27" s="2266"/>
      <c r="H27" s="2266"/>
      <c r="I27" s="2266"/>
      <c r="J27" s="2266"/>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3" customFormat="1" ht="27.75">
      <c r="A28" s="2314" t="s">
        <v>2026</v>
      </c>
      <c r="B28" s="118">
        <v>220</v>
      </c>
      <c r="C28" s="2315"/>
      <c r="D28" s="2312"/>
      <c r="E28" s="1424"/>
      <c r="F28" s="1424"/>
      <c r="G28" s="2266"/>
      <c r="H28" s="2266"/>
      <c r="I28" s="2266"/>
      <c r="J28" s="2266"/>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3" customFormat="1" ht="28.5" thickBot="1">
      <c r="A29" s="2316" t="s">
        <v>2027</v>
      </c>
      <c r="B29" s="120">
        <v>2381</v>
      </c>
      <c r="C29" s="1760" t="s">
        <v>2028</v>
      </c>
      <c r="D29" s="2312"/>
      <c r="E29" s="1424"/>
      <c r="F29" s="1424"/>
      <c r="G29" s="2266"/>
      <c r="H29" s="2266"/>
      <c r="I29" s="2266"/>
      <c r="J29" s="2266"/>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3" customFormat="1" ht="27">
      <c r="A30" s="2317" t="s">
        <v>2029</v>
      </c>
      <c r="B30" s="723">
        <v>200</v>
      </c>
      <c r="C30" s="2315"/>
      <c r="D30" s="2312"/>
      <c r="E30" s="1424"/>
      <c r="F30" s="1424"/>
      <c r="G30" s="2266"/>
      <c r="H30" s="2266"/>
      <c r="I30" s="2266"/>
      <c r="J30" s="2266"/>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3" customFormat="1" ht="27">
      <c r="A31" s="2314" t="s">
        <v>2030</v>
      </c>
      <c r="B31" s="119">
        <f>B30-B32</f>
        <v>200</v>
      </c>
      <c r="C31" s="1760"/>
      <c r="D31" s="2312"/>
      <c r="E31" s="1424"/>
      <c r="F31" s="1424"/>
      <c r="G31" s="2266"/>
      <c r="H31" s="2266"/>
      <c r="I31" s="2266"/>
      <c r="J31" s="2266"/>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3" customFormat="1" ht="27.75" thickBot="1">
      <c r="A32" s="2318" t="s">
        <v>2031</v>
      </c>
      <c r="B32" s="724"/>
      <c r="C32" s="2315"/>
      <c r="D32" s="2267"/>
      <c r="E32" s="2266"/>
      <c r="F32" s="2266"/>
      <c r="G32" s="2266"/>
      <c r="H32" s="2266"/>
      <c r="I32" s="2266"/>
      <c r="J32" s="2266"/>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3" customFormat="1" ht="14.25">
      <c r="A33" s="2311" t="s">
        <v>2032</v>
      </c>
      <c r="B33" s="725">
        <v>0.03</v>
      </c>
      <c r="C33" s="1759" t="s">
        <v>2033</v>
      </c>
      <c r="D33" s="2267"/>
      <c r="E33" s="2266"/>
      <c r="F33" s="2266"/>
      <c r="G33" s="2266"/>
      <c r="H33" s="2266"/>
      <c r="I33" s="2266"/>
      <c r="J33" s="2266"/>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3" customFormat="1" ht="14.25">
      <c r="A34" s="2314" t="s">
        <v>2034</v>
      </c>
      <c r="B34" s="121">
        <v>0.03</v>
      </c>
      <c r="C34" s="1759" t="s">
        <v>2035</v>
      </c>
      <c r="D34" s="2267" t="s">
        <v>2036</v>
      </c>
      <c r="E34" s="731"/>
      <c r="F34" s="2266"/>
      <c r="G34" s="2266"/>
      <c r="H34" s="2266"/>
      <c r="I34" s="2266"/>
      <c r="J34" s="2266"/>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3" customFormat="1" ht="14.25">
      <c r="A35" s="2314" t="s">
        <v>2037</v>
      </c>
      <c r="B35" s="118">
        <v>200</v>
      </c>
      <c r="C35" s="1759" t="s">
        <v>2038</v>
      </c>
      <c r="D35" s="2312"/>
      <c r="E35" s="1424"/>
      <c r="F35" s="1424"/>
      <c r="G35" s="2266"/>
      <c r="H35" s="2266"/>
      <c r="I35" s="2266"/>
      <c r="J35" s="2266"/>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6" t="s">
        <v>2039</v>
      </c>
      <c r="B36" s="122">
        <v>1.4999999999999999E-2</v>
      </c>
      <c r="C36" s="1759" t="s">
        <v>2040</v>
      </c>
      <c r="D36" s="2267"/>
      <c r="E36" s="2266"/>
      <c r="F36" s="2266"/>
      <c r="G36" s="2266"/>
      <c r="H36" s="2266"/>
      <c r="I36" s="2266"/>
      <c r="J36" s="2266"/>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7" t="s">
        <v>2041</v>
      </c>
      <c r="B37" s="123">
        <v>0.02</v>
      </c>
      <c r="C37" s="1759" t="s">
        <v>2042</v>
      </c>
      <c r="D37" s="2267"/>
      <c r="E37" s="2266"/>
      <c r="F37" s="2266"/>
      <c r="G37" s="2266"/>
      <c r="H37" s="2266"/>
      <c r="I37" s="2266"/>
      <c r="J37" s="2266"/>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4" t="s">
        <v>2043</v>
      </c>
      <c r="B38" s="121">
        <v>0.02</v>
      </c>
      <c r="C38" s="1759" t="s">
        <v>2042</v>
      </c>
      <c r="D38" s="2267"/>
      <c r="E38" s="2266"/>
      <c r="F38" s="2266"/>
      <c r="G38" s="2266"/>
      <c r="H38" s="2266"/>
      <c r="I38" s="2266"/>
      <c r="J38" s="2266"/>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8" t="s">
        <v>2044</v>
      </c>
      <c r="B39" s="361">
        <f ca="1">存贷款利率!I1</f>
        <v>1.4999999999999999E-2</v>
      </c>
      <c r="C39" s="1759"/>
      <c r="D39" s="2267"/>
      <c r="E39" s="2266"/>
      <c r="F39" s="2266"/>
      <c r="G39" s="2266"/>
      <c r="H39" s="2266"/>
      <c r="I39" s="2266"/>
      <c r="J39" s="2266"/>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8" t="s">
        <v>2045</v>
      </c>
      <c r="B40" s="1298">
        <f ca="1">存贷款利率!G1</f>
        <v>4.7500000000000001E-2</v>
      </c>
      <c r="C40" s="1759" t="s">
        <v>2046</v>
      </c>
      <c r="D40" s="1577"/>
      <c r="E40" s="2267"/>
      <c r="F40" s="2266"/>
      <c r="G40" s="2266"/>
      <c r="H40" s="2266"/>
      <c r="I40" s="2266"/>
      <c r="J40" s="2266"/>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1" t="s">
        <v>2047</v>
      </c>
      <c r="B41" s="124">
        <f>B42+B43</f>
        <v>5.6000000000000001E-2</v>
      </c>
      <c r="C41" s="1760"/>
      <c r="D41" s="1577"/>
      <c r="E41" s="2267"/>
      <c r="F41" s="2266"/>
      <c r="G41" s="2266"/>
      <c r="H41" s="2266"/>
      <c r="I41" s="2266"/>
      <c r="J41" s="2266"/>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19" t="s">
        <v>2048</v>
      </c>
      <c r="B42" s="125">
        <v>0.05</v>
      </c>
      <c r="C42" s="2320">
        <f>IF(B2&lt;DATE(2016,5,1),0,B42)</f>
        <v>0.05</v>
      </c>
      <c r="D42" s="2267"/>
      <c r="E42" s="2266"/>
      <c r="F42" s="2266"/>
      <c r="G42" s="2266"/>
      <c r="H42" s="2266"/>
      <c r="I42" s="2266"/>
      <c r="J42" s="2266"/>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19" t="s">
        <v>2049</v>
      </c>
      <c r="B43" s="126">
        <f>B42*(B44+B45+B46)+B47</f>
        <v>6.000000000000001E-3</v>
      </c>
      <c r="C43" s="1760"/>
      <c r="D43" s="2267"/>
      <c r="E43" s="2266"/>
      <c r="F43" s="2266"/>
      <c r="G43" s="2266"/>
      <c r="H43" s="2266"/>
      <c r="I43" s="2266"/>
      <c r="J43" s="2266"/>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1" t="s">
        <v>2050</v>
      </c>
      <c r="B44" s="127">
        <v>7.0000000000000007E-2</v>
      </c>
      <c r="C44" s="1759" t="s">
        <v>2051</v>
      </c>
      <c r="D44" s="2267"/>
      <c r="E44" s="2266"/>
      <c r="F44" s="2266"/>
      <c r="G44" s="2266"/>
      <c r="H44" s="2266"/>
      <c r="I44" s="2266"/>
      <c r="J44" s="2266"/>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1" t="s">
        <v>2052</v>
      </c>
      <c r="B45" s="125">
        <v>0.03</v>
      </c>
      <c r="C45" s="1760" t="s">
        <v>2053</v>
      </c>
      <c r="D45" s="2267"/>
      <c r="E45" s="2266"/>
      <c r="F45" s="2266"/>
      <c r="G45" s="2266"/>
      <c r="H45" s="2266"/>
      <c r="I45" s="2266"/>
      <c r="J45" s="2266"/>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1" t="s">
        <v>2054</v>
      </c>
      <c r="B46" s="125">
        <v>0.02</v>
      </c>
      <c r="C46" s="1760" t="s">
        <v>2055</v>
      </c>
      <c r="D46" s="2267"/>
      <c r="E46" s="2266"/>
      <c r="F46" s="2266"/>
      <c r="G46" s="2266"/>
      <c r="H46" s="2266"/>
      <c r="I46" s="2266"/>
      <c r="J46" s="2266"/>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2" t="s">
        <v>2056</v>
      </c>
      <c r="B47" s="128"/>
      <c r="C47" s="1760" t="s">
        <v>2057</v>
      </c>
      <c r="D47" s="2267"/>
      <c r="E47" s="2266"/>
      <c r="F47" s="2266"/>
      <c r="G47" s="2266"/>
      <c r="H47" s="2266"/>
      <c r="I47" s="2266"/>
      <c r="J47" s="2266"/>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3" t="s">
        <v>2058</v>
      </c>
      <c r="B48" s="129">
        <v>0.03</v>
      </c>
      <c r="C48" s="1767" t="s">
        <v>2059</v>
      </c>
      <c r="D48" s="2267"/>
      <c r="E48" s="2266"/>
      <c r="F48" s="2266"/>
      <c r="G48" s="2266"/>
      <c r="H48" s="2266"/>
      <c r="I48" s="2266"/>
      <c r="J48" s="2266"/>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8" t="s">
        <v>2060</v>
      </c>
      <c r="B49" s="125">
        <v>5.0000000000000001E-4</v>
      </c>
      <c r="C49" s="1767" t="s">
        <v>2061</v>
      </c>
      <c r="D49" s="2267"/>
      <c r="E49" s="2266"/>
      <c r="F49" s="2266"/>
      <c r="G49" s="2266"/>
      <c r="H49" s="2266"/>
      <c r="I49" s="2266"/>
      <c r="J49" s="2266"/>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4" t="s">
        <v>2062</v>
      </c>
      <c r="B50" s="130">
        <v>1.2E-2</v>
      </c>
      <c r="C50" s="1424"/>
      <c r="D50" s="2267"/>
      <c r="E50" s="2266"/>
      <c r="F50" s="2266"/>
      <c r="G50" s="2266"/>
      <c r="H50" s="2266"/>
      <c r="I50" s="2266"/>
      <c r="J50" s="2266"/>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6" t="s">
        <v>2063</v>
      </c>
      <c r="B51" s="131">
        <v>0.12</v>
      </c>
      <c r="C51" s="1424"/>
      <c r="D51" s="2267"/>
      <c r="E51" s="2266"/>
      <c r="F51" s="2266"/>
      <c r="G51" s="2266"/>
      <c r="H51" s="2266"/>
      <c r="I51" s="2266"/>
      <c r="J51" s="2266"/>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4" t="s">
        <v>2064</v>
      </c>
      <c r="B52" s="132">
        <f>SUMIF(A54:A63,B53,B54:B63)</f>
        <v>18</v>
      </c>
      <c r="C52" s="1424"/>
      <c r="D52" s="2267"/>
      <c r="E52" s="2266"/>
      <c r="F52" s="2266"/>
      <c r="G52" s="2266"/>
      <c r="H52" s="2266"/>
      <c r="I52" s="2266"/>
      <c r="J52" s="2266"/>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4" t="s">
        <v>2065</v>
      </c>
      <c r="B53" s="2325" t="s">
        <v>212</v>
      </c>
      <c r="C53" s="1424" t="s">
        <v>2066</v>
      </c>
      <c r="D53" s="2326" t="s">
        <v>3413</v>
      </c>
      <c r="E53" s="2266"/>
      <c r="F53" s="2266"/>
      <c r="G53" s="2266"/>
      <c r="H53" s="2266"/>
      <c r="I53" s="2266"/>
      <c r="J53" s="2266"/>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7" t="s">
        <v>2067</v>
      </c>
      <c r="B54" s="84">
        <v>18</v>
      </c>
      <c r="C54" s="1424">
        <v>30</v>
      </c>
      <c r="D54" s="2267"/>
      <c r="E54" s="2266"/>
      <c r="F54" s="2266"/>
      <c r="G54" s="2266"/>
      <c r="H54" s="2266"/>
      <c r="I54" s="2266"/>
      <c r="J54" s="2266"/>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7" t="s">
        <v>2068</v>
      </c>
      <c r="B55" s="84"/>
      <c r="C55" s="1424">
        <v>24</v>
      </c>
      <c r="D55" s="2267"/>
      <c r="E55" s="2266"/>
      <c r="F55" s="2266"/>
      <c r="G55" s="2266"/>
      <c r="H55" s="2266"/>
      <c r="I55" s="2328"/>
      <c r="J55" s="2266"/>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7" t="s">
        <v>2069</v>
      </c>
      <c r="B56" s="84"/>
      <c r="C56" s="1424">
        <v>18</v>
      </c>
      <c r="D56" s="2267"/>
      <c r="E56" s="2266"/>
      <c r="F56" s="2266"/>
      <c r="G56" s="2266"/>
      <c r="H56" s="2266"/>
      <c r="I56" s="2266"/>
      <c r="J56" s="2266"/>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7" t="s">
        <v>2070</v>
      </c>
      <c r="B57" s="84"/>
      <c r="C57" s="1424">
        <v>12</v>
      </c>
      <c r="D57" s="2267"/>
      <c r="E57" s="2266"/>
      <c r="F57" s="2266"/>
      <c r="G57" s="2266"/>
      <c r="H57" s="2266"/>
      <c r="I57" s="2266"/>
      <c r="J57" s="2266"/>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7" t="s">
        <v>2071</v>
      </c>
      <c r="B58" s="84"/>
      <c r="C58" s="1424">
        <v>3</v>
      </c>
      <c r="D58" s="2267"/>
      <c r="E58" s="2266"/>
      <c r="F58" s="2266"/>
      <c r="G58" s="2266"/>
      <c r="H58" s="2266"/>
      <c r="I58" s="2266"/>
      <c r="J58" s="2266"/>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7" t="s">
        <v>2072</v>
      </c>
      <c r="B59" s="84"/>
      <c r="C59" s="1424">
        <v>1.5</v>
      </c>
      <c r="D59" s="2267"/>
      <c r="E59" s="2266"/>
      <c r="F59" s="2266"/>
      <c r="G59" s="2266"/>
      <c r="H59" s="2266"/>
      <c r="I59" s="2266"/>
      <c r="J59" s="2266"/>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7" t="s">
        <v>2073</v>
      </c>
      <c r="B60" s="84"/>
      <c r="C60" s="2266"/>
      <c r="D60" s="2267"/>
      <c r="E60" s="2266"/>
      <c r="F60" s="2266"/>
      <c r="G60" s="2266"/>
      <c r="H60" s="2266"/>
      <c r="I60" s="2266"/>
      <c r="J60" s="2266"/>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7" t="s">
        <v>2074</v>
      </c>
      <c r="B61" s="84"/>
      <c r="C61" s="2266"/>
      <c r="D61" s="2267"/>
      <c r="E61" s="2266"/>
      <c r="F61" s="2266"/>
      <c r="G61" s="2266"/>
      <c r="H61" s="2266"/>
      <c r="I61" s="2266"/>
      <c r="J61" s="2266"/>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7" t="s">
        <v>2075</v>
      </c>
      <c r="B62" s="84"/>
      <c r="C62" s="2266"/>
      <c r="D62" s="2267"/>
      <c r="E62" s="2266"/>
      <c r="F62" s="2266"/>
      <c r="G62" s="2266"/>
      <c r="H62" s="2266"/>
      <c r="I62" s="2266"/>
      <c r="J62" s="2266"/>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9" t="s">
        <v>2076</v>
      </c>
      <c r="B63" s="133"/>
      <c r="C63" s="2266"/>
      <c r="D63" s="2267"/>
      <c r="E63" s="2266"/>
      <c r="F63" s="2266"/>
      <c r="G63" s="2266"/>
      <c r="H63" s="2266"/>
      <c r="I63" s="2266"/>
      <c r="J63" s="2266"/>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0"/>
      <c r="D64" s="2331"/>
      <c r="K64" s="797"/>
      <c r="L64" s="797"/>
    </row>
    <row r="65" spans="1:12" s="962" customFormat="1">
      <c r="A65" s="2330"/>
      <c r="D65" s="2331"/>
      <c r="K65" s="797"/>
      <c r="L65" s="797"/>
    </row>
    <row r="66" spans="1:12" s="962" customFormat="1">
      <c r="A66" s="2330"/>
      <c r="D66" s="2331"/>
      <c r="K66" s="797"/>
      <c r="L66" s="797"/>
    </row>
    <row r="67" spans="1:12" s="962" customFormat="1">
      <c r="A67" s="2330"/>
      <c r="D67" s="2331"/>
      <c r="K67" s="797"/>
      <c r="L67" s="797"/>
    </row>
    <row r="68" spans="1:12" s="962" customFormat="1">
      <c r="A68" s="2330"/>
      <c r="D68" s="2331"/>
      <c r="K68" s="797"/>
      <c r="L68" s="797"/>
    </row>
    <row r="69" spans="1:12" s="962" customFormat="1">
      <c r="A69" s="2330"/>
      <c r="D69" s="2331"/>
      <c r="K69" s="797"/>
      <c r="L69" s="797"/>
    </row>
    <row r="70" spans="1:12" s="962" customFormat="1">
      <c r="A70" s="2330"/>
      <c r="D70" s="2331"/>
      <c r="K70" s="797"/>
      <c r="L70" s="797"/>
    </row>
    <row r="71" spans="1:12" s="962" customFormat="1">
      <c r="A71" s="2330"/>
      <c r="D71" s="2331"/>
      <c r="K71" s="797"/>
      <c r="L71" s="797"/>
    </row>
    <row r="72" spans="1:12" s="962" customFormat="1">
      <c r="A72" s="2330"/>
      <c r="D72" s="2331"/>
      <c r="K72" s="797"/>
      <c r="L72" s="797"/>
    </row>
    <row r="73" spans="1:12" s="962" customFormat="1">
      <c r="A73" s="2330"/>
      <c r="D73" s="2331"/>
      <c r="K73" s="797"/>
      <c r="L73" s="797"/>
    </row>
    <row r="74" spans="1:12" s="962" customFormat="1">
      <c r="A74" s="2330"/>
      <c r="D74" s="2331"/>
      <c r="K74" s="797"/>
      <c r="L74" s="797"/>
    </row>
    <row r="75" spans="1:12" s="962" customFormat="1">
      <c r="A75" s="2330"/>
      <c r="D75" s="2331"/>
      <c r="K75" s="797"/>
      <c r="L75" s="797"/>
    </row>
    <row r="76" spans="1:12" s="962" customFormat="1">
      <c r="A76" s="2330"/>
      <c r="D76" s="2331"/>
      <c r="K76" s="797"/>
      <c r="L76" s="797"/>
    </row>
    <row r="77" spans="1:12" s="962" customFormat="1">
      <c r="A77" s="2330"/>
      <c r="D77" s="2331"/>
      <c r="K77" s="797"/>
      <c r="L77" s="797"/>
    </row>
    <row r="78" spans="1:12" s="962" customFormat="1">
      <c r="A78" s="2330"/>
      <c r="D78" s="2331"/>
      <c r="K78" s="797"/>
      <c r="L78" s="797"/>
    </row>
    <row r="79" spans="1:12" s="962" customFormat="1">
      <c r="A79" s="2330"/>
      <c r="D79" s="2331"/>
      <c r="K79" s="797"/>
      <c r="L79" s="797"/>
    </row>
    <row r="80" spans="1:12" s="962" customFormat="1">
      <c r="A80" s="2330"/>
      <c r="D80" s="2331"/>
      <c r="K80" s="797"/>
      <c r="L80" s="797"/>
    </row>
    <row r="81" spans="1:12" s="962" customFormat="1">
      <c r="A81" s="2330"/>
      <c r="D81" s="2331"/>
      <c r="K81" s="797"/>
      <c r="L81" s="797"/>
    </row>
    <row r="82" spans="1:12" s="962" customFormat="1">
      <c r="A82" s="2330"/>
      <c r="D82" s="2331"/>
      <c r="K82" s="797"/>
      <c r="L82" s="797"/>
    </row>
    <row r="83" spans="1:12" s="962" customFormat="1">
      <c r="A83" s="2330"/>
      <c r="D83" s="2331"/>
      <c r="K83" s="797"/>
      <c r="L83" s="797"/>
    </row>
    <row r="84" spans="1:12" s="962" customFormat="1">
      <c r="A84" s="2330"/>
      <c r="D84" s="2331"/>
      <c r="K84" s="797"/>
      <c r="L84" s="797"/>
    </row>
    <row r="85" spans="1:12" s="962" customFormat="1">
      <c r="A85" s="2330"/>
      <c r="D85" s="2331"/>
      <c r="K85" s="797"/>
      <c r="L85" s="797"/>
    </row>
    <row r="86" spans="1:12" s="962" customFormat="1">
      <c r="A86" s="2330"/>
      <c r="D86" s="2331"/>
      <c r="K86" s="797"/>
      <c r="L86" s="797"/>
    </row>
    <row r="87" spans="1:12" s="962" customFormat="1">
      <c r="A87" s="2330"/>
      <c r="D87" s="2331"/>
      <c r="K87" s="797"/>
      <c r="L87" s="797"/>
    </row>
    <row r="88" spans="1:12" s="962" customFormat="1">
      <c r="A88" s="2330"/>
      <c r="D88" s="2331"/>
      <c r="K88" s="797"/>
      <c r="L88" s="797"/>
    </row>
    <row r="89" spans="1:12" s="962" customFormat="1">
      <c r="A89" s="2330"/>
      <c r="D89" s="2331"/>
      <c r="K89" s="797"/>
      <c r="L89" s="797"/>
    </row>
    <row r="90" spans="1:12" s="962" customFormat="1">
      <c r="A90" s="2330"/>
      <c r="D90" s="2331"/>
      <c r="K90" s="797"/>
      <c r="L90" s="797"/>
    </row>
    <row r="91" spans="1:12" s="962" customFormat="1">
      <c r="A91" s="2330"/>
      <c r="D91" s="2331"/>
      <c r="K91" s="797"/>
      <c r="L91" s="797"/>
    </row>
    <row r="92" spans="1:12" s="962" customFormat="1">
      <c r="A92" s="2330"/>
      <c r="D92" s="2331"/>
      <c r="K92" s="797"/>
      <c r="L92" s="797"/>
    </row>
    <row r="93" spans="1:12" s="962" customFormat="1">
      <c r="A93" s="2330"/>
      <c r="D93" s="2331"/>
      <c r="K93" s="797"/>
      <c r="L93" s="797"/>
    </row>
    <row r="94" spans="1:12" s="962" customFormat="1">
      <c r="A94" s="2330"/>
      <c r="D94" s="2331"/>
      <c r="K94" s="797"/>
      <c r="L94" s="797"/>
    </row>
    <row r="95" spans="1:12" s="962" customFormat="1">
      <c r="A95" s="2330"/>
      <c r="D95" s="2331"/>
      <c r="K95" s="797"/>
      <c r="L95" s="797"/>
    </row>
    <row r="96" spans="1:12" s="962" customFormat="1">
      <c r="A96" s="2330"/>
      <c r="D96" s="2331"/>
      <c r="K96" s="797"/>
      <c r="L96" s="797"/>
    </row>
    <row r="97" spans="1:12" s="962" customFormat="1">
      <c r="A97" s="2330"/>
      <c r="D97" s="2331"/>
      <c r="K97" s="797"/>
      <c r="L97" s="797"/>
    </row>
    <row r="98" spans="1:12" s="962" customFormat="1">
      <c r="A98" s="2330"/>
      <c r="D98" s="2331"/>
      <c r="K98" s="797"/>
      <c r="L98" s="797"/>
    </row>
    <row r="99" spans="1:12" s="962" customFormat="1">
      <c r="A99" s="2330"/>
      <c r="D99" s="2331"/>
      <c r="K99" s="797"/>
      <c r="L99" s="797"/>
    </row>
    <row r="100" spans="1:12" s="962" customFormat="1">
      <c r="A100" s="2330"/>
      <c r="D100" s="2331"/>
      <c r="K100" s="797"/>
      <c r="L100" s="797"/>
    </row>
    <row r="101" spans="1:12" s="962" customFormat="1">
      <c r="A101" s="2330"/>
      <c r="D101" s="2331"/>
      <c r="K101" s="797"/>
      <c r="L101" s="797"/>
    </row>
    <row r="102" spans="1:12" s="962" customFormat="1">
      <c r="A102" s="2330"/>
      <c r="D102" s="2331"/>
      <c r="K102" s="797"/>
      <c r="L102" s="797"/>
    </row>
    <row r="103" spans="1:12" s="962" customFormat="1">
      <c r="A103" s="2330"/>
      <c r="D103" s="2331"/>
      <c r="K103" s="797"/>
      <c r="L103" s="797"/>
    </row>
    <row r="104" spans="1:12" s="962" customFormat="1">
      <c r="A104" s="2330"/>
      <c r="D104" s="2331"/>
      <c r="K104" s="797"/>
      <c r="L104" s="797"/>
    </row>
    <row r="105" spans="1:12" s="962" customFormat="1">
      <c r="A105" s="2330"/>
      <c r="D105" s="2331"/>
      <c r="K105" s="797"/>
      <c r="L105" s="797"/>
    </row>
    <row r="106" spans="1:12" s="962" customFormat="1">
      <c r="A106" s="2330"/>
      <c r="D106" s="2331"/>
      <c r="K106" s="797"/>
      <c r="L106" s="797"/>
    </row>
    <row r="107" spans="1:12" s="962" customFormat="1">
      <c r="A107" s="2330"/>
      <c r="D107" s="2331"/>
      <c r="K107" s="797"/>
      <c r="L107" s="797"/>
    </row>
    <row r="108" spans="1:12" s="962" customFormat="1">
      <c r="A108" s="2330"/>
      <c r="D108" s="2331"/>
      <c r="K108" s="797"/>
      <c r="L108" s="797"/>
    </row>
    <row r="109" spans="1:12" s="962" customFormat="1">
      <c r="A109" s="2330"/>
      <c r="D109" s="2331"/>
      <c r="K109" s="797"/>
      <c r="L109" s="797"/>
    </row>
    <row r="110" spans="1:12" s="962" customFormat="1">
      <c r="A110" s="2330"/>
      <c r="D110" s="2331"/>
      <c r="K110" s="797"/>
      <c r="L110" s="797"/>
    </row>
    <row r="111" spans="1:12" s="962" customFormat="1">
      <c r="A111" s="2330"/>
      <c r="D111" s="2331"/>
      <c r="K111" s="797"/>
      <c r="L111" s="797"/>
    </row>
    <row r="112" spans="1:12" s="962" customFormat="1">
      <c r="A112" s="2330"/>
      <c r="D112" s="2331"/>
      <c r="K112" s="797"/>
      <c r="L112" s="797"/>
    </row>
    <row r="113" spans="1:12" s="962" customFormat="1">
      <c r="A113" s="2330"/>
      <c r="D113" s="2331"/>
      <c r="K113" s="797"/>
      <c r="L113" s="797"/>
    </row>
    <row r="114" spans="1:12" s="962" customFormat="1">
      <c r="A114" s="2330"/>
      <c r="D114" s="2331"/>
      <c r="K114" s="797"/>
      <c r="L114" s="797"/>
    </row>
    <row r="115" spans="1:12" s="962" customFormat="1">
      <c r="A115" s="2330"/>
      <c r="D115" s="2331"/>
      <c r="K115" s="797"/>
      <c r="L115" s="797"/>
    </row>
    <row r="116" spans="1:12" s="962" customFormat="1">
      <c r="A116" s="2330"/>
      <c r="D116" s="2331"/>
      <c r="K116" s="797"/>
      <c r="L116" s="797"/>
    </row>
    <row r="117" spans="1:12" s="962" customFormat="1">
      <c r="A117" s="2330"/>
      <c r="D117" s="2331"/>
      <c r="K117" s="797"/>
      <c r="L117" s="797"/>
    </row>
    <row r="118" spans="1:12" s="962" customFormat="1">
      <c r="A118" s="2330"/>
      <c r="D118" s="2331"/>
      <c r="K118" s="797"/>
      <c r="L118" s="797"/>
    </row>
    <row r="119" spans="1:12" s="962" customFormat="1">
      <c r="A119" s="2330"/>
      <c r="D119" s="2331"/>
      <c r="K119" s="797"/>
      <c r="L119" s="797"/>
    </row>
    <row r="120" spans="1:12" s="962" customFormat="1">
      <c r="A120" s="2330"/>
      <c r="D120" s="2331"/>
      <c r="K120" s="797"/>
      <c r="L120" s="797"/>
    </row>
    <row r="121" spans="1:12" s="962" customFormat="1">
      <c r="A121" s="2330"/>
      <c r="D121" s="2331"/>
      <c r="K121" s="797"/>
      <c r="L121" s="797"/>
    </row>
    <row r="122" spans="1:12" s="962" customFormat="1">
      <c r="A122" s="2330"/>
      <c r="D122" s="2331"/>
      <c r="K122" s="797"/>
      <c r="L122" s="797"/>
    </row>
    <row r="123" spans="1:12" s="962" customFormat="1">
      <c r="A123" s="2330"/>
      <c r="D123" s="2331"/>
      <c r="K123" s="797"/>
      <c r="L123" s="797"/>
    </row>
    <row r="124" spans="1:12" s="962" customFormat="1">
      <c r="A124" s="2330"/>
      <c r="D124" s="2331"/>
      <c r="K124" s="797"/>
      <c r="L124" s="797"/>
    </row>
    <row r="125" spans="1:12" s="962" customFormat="1">
      <c r="A125" s="2330"/>
      <c r="D125" s="2331"/>
      <c r="K125" s="797"/>
      <c r="L125" s="797"/>
    </row>
    <row r="126" spans="1:12" s="962" customFormat="1">
      <c r="A126" s="2330"/>
      <c r="D126" s="2331"/>
      <c r="K126" s="797"/>
      <c r="L126" s="797"/>
    </row>
    <row r="127" spans="1:12" s="962" customFormat="1">
      <c r="A127" s="2330"/>
      <c r="D127" s="2331"/>
      <c r="K127" s="797"/>
      <c r="L127" s="797"/>
    </row>
    <row r="128" spans="1:12" s="962" customFormat="1">
      <c r="A128" s="2330"/>
      <c r="D128" s="2331"/>
      <c r="K128" s="797"/>
      <c r="L128" s="797"/>
    </row>
    <row r="129" spans="1:12" s="962" customFormat="1">
      <c r="A129" s="2330"/>
      <c r="D129" s="2331"/>
      <c r="K129" s="797"/>
      <c r="L129" s="797"/>
    </row>
    <row r="130" spans="1:12" s="962" customFormat="1">
      <c r="A130" s="2330"/>
      <c r="D130" s="2331"/>
      <c r="K130" s="797"/>
      <c r="L130" s="797"/>
    </row>
    <row r="131" spans="1:12" s="962" customFormat="1">
      <c r="A131" s="2330"/>
      <c r="D131" s="2331"/>
      <c r="K131" s="797"/>
      <c r="L131" s="797"/>
    </row>
    <row r="132" spans="1:12" s="962" customFormat="1">
      <c r="A132" s="2330"/>
      <c r="D132" s="2331"/>
      <c r="K132" s="797"/>
      <c r="L132" s="797"/>
    </row>
    <row r="133" spans="1:12" s="962" customFormat="1">
      <c r="A133" s="2330"/>
      <c r="D133" s="2331"/>
      <c r="K133" s="797"/>
      <c r="L133" s="797"/>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mergeCells count="4">
    <mergeCell ref="L18:N18"/>
    <mergeCell ref="O18:P18"/>
    <mergeCell ref="O19:P19"/>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8.875"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625" style="2386" customWidth="1"/>
    <col min="10" max="10" width="2.625" style="2385" customWidth="1"/>
    <col min="11" max="11" width="11.875" style="2385" customWidth="1"/>
    <col min="12" max="12" width="16.625" style="2386" customWidth="1"/>
    <col min="13" max="13" width="2.625" style="2385" customWidth="1"/>
    <col min="14" max="14" width="11.875" style="2385" customWidth="1"/>
    <col min="15" max="15" width="16.625" style="2386" customWidth="1"/>
    <col min="16" max="16" width="2.625" style="2385" customWidth="1"/>
    <col min="17" max="17" width="11.875" style="2385" customWidth="1"/>
    <col min="18" max="18" width="16.625" style="2387" customWidth="1"/>
    <col min="19" max="29" width="8.875" style="2357"/>
    <col min="30" max="16384" width="8.875" style="2358"/>
  </cols>
  <sheetData>
    <row r="1" spans="1:29" s="2351" customFormat="1" ht="19.5" thickBot="1">
      <c r="A1" s="3085" t="s">
        <v>2077</v>
      </c>
      <c r="B1" s="3086"/>
      <c r="C1" s="3086"/>
      <c r="D1" s="3086"/>
      <c r="E1" s="3086"/>
      <c r="F1" s="3086"/>
      <c r="G1" s="3086"/>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2078</v>
      </c>
      <c r="D2" s="2355"/>
      <c r="E2" s="2356"/>
      <c r="F2" s="2275"/>
      <c r="G2" s="2354" t="s">
        <v>2079</v>
      </c>
      <c r="H2" s="2357"/>
      <c r="I2" s="2357"/>
      <c r="J2" s="2357"/>
      <c r="K2" s="2357"/>
      <c r="L2" s="2357"/>
      <c r="M2" s="2357"/>
      <c r="N2" s="2357"/>
      <c r="O2" s="2357"/>
      <c r="P2" s="2357"/>
      <c r="Q2" s="2357"/>
      <c r="R2" s="2357"/>
    </row>
    <row r="3" spans="1:29" ht="54">
      <c r="A3" s="414" t="s">
        <v>2080</v>
      </c>
      <c r="B3" s="1266" t="s">
        <v>2081</v>
      </c>
      <c r="C3" s="2359" t="s">
        <v>2082</v>
      </c>
      <c r="D3" s="2360"/>
      <c r="E3" s="430" t="s">
        <v>2080</v>
      </c>
      <c r="F3" s="2361" t="s">
        <v>2083</v>
      </c>
      <c r="G3" s="2362" t="s">
        <v>2084</v>
      </c>
      <c r="H3" s="2357"/>
      <c r="I3" s="2357"/>
      <c r="J3" s="2357"/>
      <c r="K3" s="2357"/>
      <c r="L3" s="2357"/>
      <c r="M3" s="2357"/>
      <c r="N3" s="2357"/>
      <c r="O3" s="2357"/>
      <c r="P3" s="2357"/>
      <c r="Q3" s="2357"/>
      <c r="R3" s="2357"/>
    </row>
    <row r="4" spans="1:29" ht="41.25">
      <c r="A4" s="430"/>
      <c r="B4" s="1791" t="s">
        <v>2085</v>
      </c>
      <c r="C4" s="2363" t="s">
        <v>2086</v>
      </c>
      <c r="D4" s="2360"/>
      <c r="E4" s="2364"/>
      <c r="F4" s="42" t="s">
        <v>2087</v>
      </c>
      <c r="G4" s="2365" t="s">
        <v>2088</v>
      </c>
      <c r="H4" s="2357"/>
      <c r="I4" s="2357"/>
      <c r="J4" s="2357"/>
      <c r="K4" s="2357"/>
      <c r="L4" s="2357"/>
      <c r="M4" s="2357"/>
      <c r="N4" s="2357"/>
      <c r="O4" s="2357"/>
      <c r="P4" s="2357"/>
      <c r="Q4" s="2357"/>
      <c r="R4" s="2357"/>
    </row>
    <row r="5" spans="1:29" ht="41.25">
      <c r="A5" s="430"/>
      <c r="B5" s="1791" t="s">
        <v>2089</v>
      </c>
      <c r="C5" s="2363" t="s">
        <v>2090</v>
      </c>
      <c r="D5" s="2360"/>
      <c r="E5" s="2364"/>
      <c r="F5" s="1791" t="s">
        <v>2091</v>
      </c>
      <c r="G5" s="2365" t="s">
        <v>2092</v>
      </c>
      <c r="H5" s="2357"/>
      <c r="I5" s="2357"/>
      <c r="J5" s="2357"/>
      <c r="K5" s="2357"/>
      <c r="L5" s="2357"/>
      <c r="M5" s="2357"/>
      <c r="N5" s="2357"/>
      <c r="O5" s="2357"/>
      <c r="P5" s="2357"/>
      <c r="Q5" s="2357"/>
      <c r="R5" s="2357"/>
    </row>
    <row r="6" spans="1:29" ht="54">
      <c r="A6" s="430"/>
      <c r="B6" s="1791" t="s">
        <v>2093</v>
      </c>
      <c r="C6" s="2365" t="s">
        <v>2088</v>
      </c>
      <c r="D6" s="2360"/>
      <c r="E6" s="2364"/>
      <c r="F6" s="1791" t="s">
        <v>2094</v>
      </c>
      <c r="G6" s="2365" t="s">
        <v>2095</v>
      </c>
      <c r="H6" s="2357"/>
      <c r="I6" s="2357"/>
      <c r="J6" s="2357"/>
      <c r="K6" s="2357"/>
      <c r="L6" s="2357"/>
      <c r="M6" s="2357"/>
      <c r="N6" s="2357"/>
      <c r="O6" s="2357"/>
      <c r="P6" s="2357"/>
      <c r="Q6" s="2357"/>
      <c r="R6" s="2357"/>
    </row>
    <row r="7" spans="1:29" ht="41.25" thickBot="1">
      <c r="A7" s="430"/>
      <c r="B7" s="1791" t="s">
        <v>2091</v>
      </c>
      <c r="C7" s="2365" t="s">
        <v>2092</v>
      </c>
      <c r="D7" s="2366"/>
      <c r="E7" s="2367"/>
      <c r="F7" s="2368" t="s">
        <v>2096</v>
      </c>
      <c r="G7" s="2369" t="s">
        <v>2097</v>
      </c>
      <c r="H7" s="2357"/>
      <c r="I7" s="2357"/>
      <c r="J7" s="2357"/>
      <c r="K7" s="2357"/>
      <c r="L7" s="2357"/>
      <c r="M7" s="2357"/>
      <c r="N7" s="2357"/>
      <c r="O7" s="2357"/>
      <c r="P7" s="2357"/>
      <c r="Q7" s="2357"/>
      <c r="R7" s="2357"/>
    </row>
    <row r="8" spans="1:29" ht="27">
      <c r="A8" s="430"/>
      <c r="B8" s="1791" t="s">
        <v>2094</v>
      </c>
      <c r="C8" s="2365" t="s">
        <v>2095</v>
      </c>
      <c r="D8" s="2366"/>
      <c r="E8" s="2366"/>
      <c r="F8" s="1131"/>
      <c r="G8" s="1131"/>
      <c r="H8" s="2357"/>
      <c r="I8" s="2357"/>
      <c r="J8" s="2357"/>
      <c r="K8" s="2357"/>
      <c r="L8" s="2357"/>
      <c r="M8" s="2357"/>
      <c r="N8" s="2357"/>
      <c r="O8" s="2357"/>
      <c r="P8" s="2357"/>
      <c r="Q8" s="2357"/>
      <c r="R8" s="2357"/>
    </row>
    <row r="9" spans="1:29" ht="27">
      <c r="A9" s="430"/>
      <c r="B9" s="1791" t="s">
        <v>2098</v>
      </c>
      <c r="C9" s="2363" t="s">
        <v>2099</v>
      </c>
      <c r="D9" s="2360"/>
      <c r="E9" s="2366"/>
      <c r="F9" s="1131"/>
      <c r="G9" s="1131"/>
      <c r="H9" s="2357"/>
      <c r="I9" s="2357"/>
      <c r="J9" s="2357"/>
      <c r="K9" s="2357"/>
      <c r="L9" s="2357"/>
      <c r="M9" s="2357"/>
      <c r="N9" s="2357"/>
      <c r="O9" s="2357"/>
      <c r="P9" s="2357"/>
      <c r="Q9" s="2357"/>
      <c r="R9" s="2357"/>
    </row>
    <row r="10" spans="1:29" s="116" customFormat="1" ht="15.75" thickBot="1">
      <c r="A10" s="2370"/>
      <c r="B10" s="2371" t="s">
        <v>2100</v>
      </c>
      <c r="C10" s="2372"/>
      <c r="D10" s="2360"/>
      <c r="E10" s="2360"/>
      <c r="F10" s="1131"/>
      <c r="G10" s="1131"/>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6" customFormat="1" ht="15">
      <c r="A11" s="2376"/>
      <c r="B11" s="2366"/>
      <c r="C11" s="2360"/>
      <c r="D11" s="2360"/>
      <c r="E11" s="2360"/>
      <c r="F11" s="2366"/>
      <c r="G11" s="1149"/>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9"/>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2101</v>
      </c>
      <c r="B13" s="2377"/>
      <c r="C13" s="2377"/>
      <c r="D13" s="2384"/>
      <c r="E13" s="2377"/>
      <c r="F13" s="2377"/>
      <c r="G13" s="2377"/>
    </row>
    <row r="14" spans="1:29" ht="15.75" thickBot="1">
      <c r="A14" s="2388"/>
      <c r="B14" s="2389"/>
      <c r="C14" s="2390" t="s">
        <v>2102</v>
      </c>
      <c r="D14" s="2360"/>
      <c r="E14" s="2391"/>
      <c r="F14" s="2391"/>
      <c r="G14" s="2354" t="s">
        <v>2103</v>
      </c>
    </row>
    <row r="15" spans="1:29" ht="57">
      <c r="A15" s="68" t="s">
        <v>2104</v>
      </c>
      <c r="B15" s="1265" t="s">
        <v>2081</v>
      </c>
      <c r="C15" s="2392" t="str">
        <f>C3</f>
        <v>估价对象周边居住用地比例、居住小区规模和社区发展完善程度，综合评价居住社区成熟度一般</v>
      </c>
      <c r="D15" s="2360"/>
      <c r="E15" s="2393" t="s">
        <v>2105</v>
      </c>
      <c r="F15" s="1265" t="s">
        <v>2106</v>
      </c>
      <c r="G15" s="134" t="str">
        <f>G3</f>
        <v>估价对象位于XX开发区，园区建设成熟度XX，产业集聚程度XX</v>
      </c>
    </row>
    <row r="16" spans="1:29" ht="42.75">
      <c r="A16" s="644"/>
      <c r="B16" s="2394" t="s">
        <v>2085</v>
      </c>
      <c r="C16" s="2395" t="str">
        <f>C4</f>
        <v>估价对象位于XX商圈，周边商业氛围成熟，人流量大，商业繁华度好</v>
      </c>
      <c r="D16" s="2360"/>
      <c r="E16" s="2396"/>
      <c r="F16" s="2397" t="s">
        <v>2087</v>
      </c>
      <c r="G16" s="135" t="str">
        <f>G4</f>
        <v>估价对象周边道路状况、公共交通通达情况、停车便捷程度，综合评价交通便捷度较好</v>
      </c>
    </row>
    <row r="17" spans="1:18" ht="42.75">
      <c r="A17" s="644"/>
      <c r="B17" s="2394" t="s">
        <v>2089</v>
      </c>
      <c r="C17" s="2395" t="str">
        <f>C5</f>
        <v>估价对象位于XX商圈，周边办公楼项目较多，入驻率高，办公集聚程度较好</v>
      </c>
      <c r="D17" s="2366"/>
      <c r="E17" s="2396"/>
      <c r="F17" s="2397" t="s">
        <v>2107</v>
      </c>
      <c r="G17" s="1565"/>
    </row>
    <row r="18" spans="1:18" ht="57">
      <c r="A18" s="644"/>
      <c r="B18" s="2397" t="s">
        <v>2093</v>
      </c>
      <c r="C18" s="135" t="str">
        <f>C6</f>
        <v>估价对象周边道路状况、公共交通通达情况、停车便捷程度，综合评价交通便捷度较好</v>
      </c>
      <c r="D18" s="2366"/>
      <c r="E18" s="2396"/>
      <c r="F18" s="2397" t="s">
        <v>2096</v>
      </c>
      <c r="G18" s="135" t="str">
        <f>G7</f>
        <v>该园区内是否有污染型企业，绿化情况，卫生条件，整体环境状况判断</v>
      </c>
    </row>
    <row r="19" spans="1:18" ht="28.5">
      <c r="A19" s="644"/>
      <c r="B19" s="2397" t="s">
        <v>2108</v>
      </c>
      <c r="C19" s="1565"/>
      <c r="D19" s="2360"/>
      <c r="E19" s="2396"/>
      <c r="F19" s="1791" t="s">
        <v>2091</v>
      </c>
      <c r="G19" s="135" t="str">
        <f>G5</f>
        <v>估价对象所在区域公共配套设施齐备情况</v>
      </c>
    </row>
    <row r="20" spans="1:18" ht="28.5">
      <c r="A20" s="644"/>
      <c r="B20" s="2397" t="s">
        <v>2109</v>
      </c>
      <c r="C20" s="2395" t="str">
        <f>C9</f>
        <v>区域自然环境：；人文环境；综合评价环境状况一般</v>
      </c>
      <c r="D20" s="2366"/>
      <c r="E20" s="2396"/>
      <c r="F20" s="1791" t="s">
        <v>2110</v>
      </c>
      <c r="G20" s="135" t="str">
        <f>G6</f>
        <v>估价对象所在区域基础设施水平</v>
      </c>
    </row>
    <row r="21" spans="1:18" ht="28.5">
      <c r="A21" s="644"/>
      <c r="B21" s="1791" t="s">
        <v>2091</v>
      </c>
      <c r="C21" s="135" t="str">
        <f>C7</f>
        <v>估价对象所在区域公共配套设施齐备情况</v>
      </c>
      <c r="D21" s="2360"/>
      <c r="E21" s="2396"/>
      <c r="F21" s="2397" t="s">
        <v>2111</v>
      </c>
      <c r="G21" s="2398"/>
    </row>
    <row r="22" spans="1:18" ht="13.5" customHeight="1">
      <c r="A22" s="644"/>
      <c r="B22" s="1791" t="s">
        <v>2094</v>
      </c>
      <c r="C22" s="135" t="str">
        <f>C8</f>
        <v>估价对象所在区域基础设施水平</v>
      </c>
      <c r="D22" s="2360"/>
      <c r="E22" s="2396"/>
      <c r="F22" s="2397" t="s">
        <v>2100</v>
      </c>
      <c r="G22" s="1565"/>
    </row>
    <row r="23" spans="1:18" s="2357" customFormat="1" ht="15.75" thickBot="1">
      <c r="A23" s="644"/>
      <c r="B23" s="2397" t="s">
        <v>2111</v>
      </c>
      <c r="C23" s="2398"/>
      <c r="D23" s="2385"/>
      <c r="E23" s="2399"/>
      <c r="F23" s="2400" t="s">
        <v>2112</v>
      </c>
      <c r="G23" s="2401"/>
      <c r="H23" s="2385"/>
      <c r="I23" s="2386"/>
      <c r="J23" s="2385"/>
      <c r="K23" s="2385"/>
      <c r="L23" s="2386"/>
      <c r="M23" s="2385"/>
      <c r="N23" s="2385"/>
      <c r="O23" s="2386"/>
      <c r="P23" s="2385"/>
      <c r="Q23" s="2385"/>
      <c r="R23" s="2387"/>
    </row>
    <row r="24" spans="1:18" s="2357" customFormat="1" ht="15.75" thickBot="1">
      <c r="A24" s="2402"/>
      <c r="B24" s="2400" t="s">
        <v>2113</v>
      </c>
      <c r="C24" s="136">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C15" sqref="C15"/>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135929.18</v>
      </c>
      <c r="C1" s="1738"/>
      <c r="D1" s="1738"/>
      <c r="E1" s="1738"/>
      <c r="F1" s="1738"/>
      <c r="G1" s="1736"/>
    </row>
    <row r="2" spans="1:10" ht="16.5">
      <c r="A2" s="1739" t="s">
        <v>1353</v>
      </c>
      <c r="B2" s="1739">
        <f>SUM(C14:C23)</f>
        <v>30136.12</v>
      </c>
      <c r="C2" s="1738"/>
      <c r="D2" s="1738"/>
      <c r="E2" s="1738"/>
      <c r="F2" s="1738"/>
      <c r="G2" s="1736"/>
    </row>
    <row r="3" spans="1:10" ht="16.5">
      <c r="A3" s="1739" t="s">
        <v>1362</v>
      </c>
      <c r="B3" s="1740">
        <f>项目基本情况!D3</f>
        <v>43424</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91417</v>
      </c>
      <c r="C5" s="1739">
        <f ca="1">ROUND(B5*10000/$B$1,0)</f>
        <v>6725</v>
      </c>
      <c r="D5" s="1739">
        <f ca="1">ROUND(B5*10000/$B$2,0)</f>
        <v>30335</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91004</v>
      </c>
      <c r="C7" s="1739">
        <f ca="1">ROUND(B7*10000/$B$1,0)</f>
        <v>6695</v>
      </c>
      <c r="D7" s="1739">
        <f ca="1">ROUND(B7*10000/$B$2,0)</f>
        <v>30198</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135929.18</v>
      </c>
      <c r="C14" s="1737">
        <f>结果表!C118</f>
        <v>30136.12</v>
      </c>
      <c r="D14" s="1737">
        <f ca="1">结果表!H118</f>
        <v>91417</v>
      </c>
      <c r="E14" s="1737">
        <f ca="1">ROUND(D14*10000/B14,0)</f>
        <v>6725</v>
      </c>
      <c r="F14" s="1737">
        <f ca="1">ROUND(D14*10000/C14,0)</f>
        <v>30335</v>
      </c>
      <c r="G14" s="1737" t="str">
        <f>结果表!D122</f>
        <v>——</v>
      </c>
      <c r="H14" s="1737">
        <f ca="1">结果表!D124</f>
        <v>91004</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C8" sqref="C8"/>
    </sheetView>
  </sheetViews>
  <sheetFormatPr defaultColWidth="8.875" defaultRowHeight="13.5"/>
  <cols>
    <col min="1" max="1" width="3.5" style="1013" customWidth="1"/>
    <col min="2" max="9" width="10" style="1013" customWidth="1"/>
    <col min="10" max="16384" width="8.875" style="1013"/>
  </cols>
  <sheetData>
    <row r="36" spans="1:9">
      <c r="A36" s="1012" t="s">
        <v>818</v>
      </c>
      <c r="B36" s="1012" t="s">
        <v>819</v>
      </c>
    </row>
    <row r="37" spans="1:9" ht="27.75" customHeight="1">
      <c r="A37" s="1012"/>
      <c r="B37" s="2989" t="str">
        <f>项目基本情况!B1</f>
        <v>海南省海口市琼山区红城湖片区棚改项目D11-1地块出让国有建设用地使用权及在建建筑物房地产抵押价值预评估</v>
      </c>
      <c r="C37" s="2989"/>
      <c r="D37" s="2989"/>
      <c r="E37" s="2989"/>
      <c r="F37" s="2989"/>
      <c r="G37" s="2989"/>
      <c r="H37" s="2989"/>
      <c r="I37" s="2989"/>
    </row>
    <row r="38" spans="1:9">
      <c r="A38" s="1014"/>
      <c r="B38" s="1014"/>
    </row>
    <row r="39" spans="1:9">
      <c r="A39" s="1012" t="s">
        <v>818</v>
      </c>
      <c r="B39" s="1012" t="s">
        <v>820</v>
      </c>
    </row>
    <row r="40" spans="1:9">
      <c r="A40" s="1012"/>
      <c r="B40" s="1938" t="str">
        <f>项目基本情况!B5</f>
        <v>昆仑信托有限责任公司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王鹏（注册号：1120050019)、郑燚（注册号：1120070131)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
  <sheetViews>
    <sheetView topLeftCell="A17" workbookViewId="0">
      <selection activeCell="T19" sqref="T19"/>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
  <sheetViews>
    <sheetView zoomScale="70" zoomScaleNormal="70" workbookViewId="0">
      <selection activeCell="I26" sqref="I26"/>
    </sheetView>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
  <sheetViews>
    <sheetView zoomScale="70" zoomScaleNormal="70" workbookViewId="0"/>
  </sheetViews>
  <sheetFormatPr defaultColWidth="11" defaultRowHeight="13.5"/>
  <sheetData/>
  <phoneticPr fontId="143" type="noConversion"/>
  <pageMargins left="0.75" right="0.75" top="1" bottom="1" header="0.5" footer="0.5"/>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topLeftCell="A103" zoomScaleSheetLayoutView="100" workbookViewId="0">
      <selection activeCell="D125" sqref="D125:I125"/>
    </sheetView>
  </sheetViews>
  <sheetFormatPr defaultColWidth="12.625" defaultRowHeight="21.75" customHeight="1"/>
  <cols>
    <col min="1" max="2" width="12.625" style="2414"/>
    <col min="3" max="4" width="12.625" style="2414" customWidth="1"/>
    <col min="5" max="9" width="12.625" style="2414"/>
    <col min="10" max="11" width="12.625" style="794" customWidth="1"/>
    <col min="12" max="12" width="12.625" style="794"/>
    <col min="13" max="13" width="14.125" style="794" bestFit="1" customWidth="1"/>
    <col min="14" max="26" width="12.625" style="794"/>
    <col min="27" max="35" width="12.625" style="2413"/>
    <col min="36" max="16384" width="12.625" style="2414"/>
  </cols>
  <sheetData>
    <row r="1" spans="1:12" ht="21.75" customHeight="1" thickBot="1">
      <c r="A1" s="2215" t="s">
        <v>2114</v>
      </c>
      <c r="B1" s="2408"/>
      <c r="C1" s="2409"/>
      <c r="D1" s="2408"/>
      <c r="E1" s="2408"/>
      <c r="F1" s="2410" t="s">
        <v>2115</v>
      </c>
      <c r="G1" s="2064" t="s">
        <v>2116</v>
      </c>
      <c r="H1" s="2411" t="str">
        <f>IF(G1="现房","——","估价对象范围")</f>
        <v>估价对象范围</v>
      </c>
      <c r="I1" s="2412" t="s">
        <v>3104</v>
      </c>
    </row>
    <row r="2" spans="1:12" ht="21.75" customHeight="1" thickBot="1">
      <c r="A2" s="3120" t="str">
        <f>项目基本情况!S2</f>
        <v>海南省海口市琼山区红城湖片区棚改项目D11-1地块出让国有建设用地使用权及在建建筑物房地产</v>
      </c>
      <c r="B2" s="3121"/>
      <c r="C2" s="3121"/>
      <c r="D2" s="3121"/>
      <c r="E2" s="3121"/>
      <c r="F2" s="3121"/>
      <c r="G2" s="3121"/>
      <c r="H2" s="3121"/>
      <c r="I2" s="3122"/>
    </row>
    <row r="3" spans="1:12" ht="12.75">
      <c r="A3" s="3124" t="s">
        <v>2117</v>
      </c>
      <c r="B3" s="3125"/>
      <c r="C3" s="3125"/>
      <c r="D3" s="3125"/>
      <c r="E3" s="3125"/>
      <c r="F3" s="3125"/>
      <c r="G3" s="3125"/>
      <c r="H3" s="3125"/>
      <c r="I3" s="3125"/>
    </row>
    <row r="4" spans="1:12" ht="14.25">
      <c r="A4" s="2415" t="s">
        <v>2118</v>
      </c>
      <c r="B4" s="2416" t="s">
        <v>2119</v>
      </c>
      <c r="C4" s="2417" t="s">
        <v>3099</v>
      </c>
      <c r="D4" s="2417" t="s">
        <v>3103</v>
      </c>
      <c r="E4" s="3117" t="s">
        <v>2120</v>
      </c>
      <c r="F4" s="3118"/>
      <c r="G4" s="3118"/>
      <c r="H4" s="3118"/>
      <c r="I4" s="3126"/>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100" t="s">
        <v>2121</v>
      </c>
      <c r="B5" s="3033">
        <v>25</v>
      </c>
      <c r="C5" s="3103"/>
      <c r="D5" s="3123"/>
      <c r="E5" s="139" t="s">
        <v>2122</v>
      </c>
      <c r="F5" s="2419"/>
      <c r="G5" s="2419"/>
      <c r="H5" s="2419"/>
      <c r="I5" s="1827"/>
    </row>
    <row r="6" spans="1:12" ht="12.75">
      <c r="A6" s="3100"/>
      <c r="B6" s="3033"/>
      <c r="C6" s="3104"/>
      <c r="D6" s="3123"/>
      <c r="E6" s="139" t="s">
        <v>2123</v>
      </c>
      <c r="F6" s="2419"/>
      <c r="G6" s="2419"/>
      <c r="H6" s="2419"/>
      <c r="I6" s="1827"/>
    </row>
    <row r="7" spans="1:12" ht="12.75">
      <c r="A7" s="3100"/>
      <c r="B7" s="3033"/>
      <c r="C7" s="3105"/>
      <c r="D7" s="3123"/>
      <c r="E7" s="139" t="s">
        <v>2124</v>
      </c>
      <c r="F7" s="2419"/>
      <c r="G7" s="2419"/>
      <c r="H7" s="2419"/>
      <c r="I7" s="1827"/>
    </row>
    <row r="8" spans="1:12" ht="12.75">
      <c r="A8" s="3100" t="s">
        <v>2125</v>
      </c>
      <c r="B8" s="3033">
        <v>15</v>
      </c>
      <c r="C8" s="3103"/>
      <c r="D8" s="3123"/>
      <c r="E8" s="139" t="s">
        <v>2126</v>
      </c>
      <c r="F8" s="2419"/>
      <c r="G8" s="2419"/>
      <c r="H8" s="2419"/>
      <c r="I8" s="1827"/>
    </row>
    <row r="9" spans="1:12" ht="12.75">
      <c r="A9" s="3100"/>
      <c r="B9" s="3033"/>
      <c r="C9" s="3105"/>
      <c r="D9" s="3123"/>
      <c r="E9" s="139" t="s">
        <v>2127</v>
      </c>
      <c r="F9" s="2419"/>
      <c r="G9" s="2419"/>
      <c r="H9" s="2419"/>
      <c r="I9" s="1827"/>
    </row>
    <row r="10" spans="1:12" ht="12.75">
      <c r="A10" s="3100" t="s">
        <v>2128</v>
      </c>
      <c r="B10" s="3033">
        <v>15</v>
      </c>
      <c r="C10" s="3103"/>
      <c r="D10" s="3123"/>
      <c r="E10" s="139" t="s">
        <v>2129</v>
      </c>
      <c r="F10" s="2419"/>
      <c r="G10" s="2419"/>
      <c r="H10" s="2419"/>
      <c r="I10" s="1827"/>
    </row>
    <row r="11" spans="1:12" ht="12.75">
      <c r="A11" s="3100"/>
      <c r="B11" s="3033"/>
      <c r="C11" s="3105"/>
      <c r="D11" s="3123"/>
      <c r="E11" s="139" t="s">
        <v>2130</v>
      </c>
      <c r="F11" s="2419"/>
      <c r="G11" s="2419"/>
      <c r="H11" s="2419"/>
      <c r="I11" s="1827"/>
    </row>
    <row r="12" spans="1:12" ht="12.75">
      <c r="A12" s="3100" t="s">
        <v>2131</v>
      </c>
      <c r="B12" s="3033">
        <v>15</v>
      </c>
      <c r="C12" s="3103"/>
      <c r="D12" s="3123"/>
      <c r="E12" s="139" t="s">
        <v>2132</v>
      </c>
      <c r="F12" s="2419"/>
      <c r="G12" s="2419"/>
      <c r="H12" s="2419"/>
      <c r="I12" s="1827"/>
    </row>
    <row r="13" spans="1:12" ht="12.75">
      <c r="A13" s="3100"/>
      <c r="B13" s="3033"/>
      <c r="C13" s="3105"/>
      <c r="D13" s="3123"/>
      <c r="E13" s="139" t="s">
        <v>2133</v>
      </c>
      <c r="F13" s="2419"/>
      <c r="G13" s="2419"/>
      <c r="H13" s="2419"/>
      <c r="I13" s="1827"/>
    </row>
    <row r="14" spans="1:12" ht="12.75">
      <c r="A14" s="3100" t="s">
        <v>2134</v>
      </c>
      <c r="B14" s="3033">
        <v>30</v>
      </c>
      <c r="C14" s="3103">
        <v>5</v>
      </c>
      <c r="D14" s="3123">
        <v>5</v>
      </c>
      <c r="E14" s="139" t="s">
        <v>2135</v>
      </c>
      <c r="F14" s="2419"/>
      <c r="G14" s="2419"/>
      <c r="H14" s="2419"/>
      <c r="I14" s="1827"/>
    </row>
    <row r="15" spans="1:12" ht="12.75">
      <c r="A15" s="3100"/>
      <c r="B15" s="3033"/>
      <c r="C15" s="3104"/>
      <c r="D15" s="3123"/>
      <c r="E15" s="139" t="s">
        <v>2136</v>
      </c>
      <c r="F15" s="2419"/>
      <c r="G15" s="2419"/>
      <c r="H15" s="2419"/>
      <c r="I15" s="1827"/>
    </row>
    <row r="16" spans="1:12" ht="12.75">
      <c r="A16" s="3100"/>
      <c r="B16" s="3033"/>
      <c r="C16" s="3105"/>
      <c r="D16" s="3123"/>
      <c r="E16" s="139" t="s">
        <v>2137</v>
      </c>
      <c r="F16" s="2419"/>
      <c r="G16" s="2419"/>
      <c r="H16" s="2419"/>
      <c r="I16" s="1827"/>
    </row>
    <row r="17" spans="1:35" ht="15">
      <c r="A17" s="2420" t="s">
        <v>2138</v>
      </c>
      <c r="B17" s="64"/>
      <c r="C17" s="140">
        <f>SUM(C5:C16)</f>
        <v>5</v>
      </c>
      <c r="D17" s="140">
        <f>SUM(D5:D16)</f>
        <v>5</v>
      </c>
      <c r="E17" s="137"/>
      <c r="F17" s="137"/>
      <c r="G17" s="137"/>
      <c r="H17" s="137"/>
      <c r="I17" s="137"/>
      <c r="K17" s="2418"/>
      <c r="L17" s="2421" t="s">
        <v>2139</v>
      </c>
      <c r="M17" s="2421" t="s">
        <v>2140</v>
      </c>
    </row>
    <row r="18" spans="1:35" ht="15.75" thickBot="1">
      <c r="A18" s="2422" t="s">
        <v>2141</v>
      </c>
      <c r="B18" s="2423"/>
      <c r="C18" s="141">
        <f>ROUND(C17/SUM(C17:D17),2)</f>
        <v>0.5</v>
      </c>
      <c r="D18" s="141">
        <f>1-C18</f>
        <v>0.5</v>
      </c>
      <c r="E18" s="137"/>
      <c r="F18" s="137"/>
      <c r="G18" s="137"/>
      <c r="H18" s="137"/>
      <c r="I18" s="137"/>
      <c r="K18" s="2418" t="s">
        <v>2142</v>
      </c>
      <c r="L18" s="2418">
        <f>IF(C1="",'数据-汇总表'!E3,SUMIF(项目类型,C1,'数据-汇总表'!E17:E26)+SUMIF(项目类型,C1,'数据-汇总表'!I17:I26))</f>
        <v>135929.18</v>
      </c>
      <c r="M18" s="2418">
        <f>IF(C1="",'数据-汇总表'!E3,SUMIF(项目类型,C1,'数据-汇总表'!E17:E26))</f>
        <v>135929.18</v>
      </c>
    </row>
    <row r="19" spans="1:35" ht="15">
      <c r="A19" s="2424" t="s">
        <v>2143</v>
      </c>
      <c r="B19" s="2425" t="s">
        <v>2144</v>
      </c>
      <c r="C19" s="142">
        <f ca="1">SUMIF(INDIRECT("'"&amp;C4&amp;"'"&amp;"!A:A"),结果表!B19,INDIRECT("'"&amp;C4&amp;"'"&amp;"!B:B"))</f>
        <v>82544</v>
      </c>
      <c r="D19" s="143">
        <f ca="1">SUMIF(INDIRECT("'"&amp;D4&amp;"'"&amp;"!A:A"),结果表!B19,INDIRECT("'"&amp;D4&amp;"'"&amp;"!B:B"))</f>
        <v>100289</v>
      </c>
      <c r="E19" s="2424" t="s">
        <v>2145</v>
      </c>
      <c r="F19" s="2425" t="s">
        <v>2144</v>
      </c>
      <c r="G19" s="144">
        <f ca="1">ROUND(C19*$C$18+D19*$D$18,0)</f>
        <v>91417</v>
      </c>
      <c r="H19" s="2426" t="s">
        <v>2146</v>
      </c>
      <c r="I19" s="137"/>
      <c r="K19" s="2418" t="s">
        <v>2147</v>
      </c>
      <c r="L19" s="2418">
        <f>IF(C1="",'数据-汇总表'!D3,SUMIF(项目类型,C1,'数据-汇总表'!D17:D26)+SUMIF(项目类型,C1,'数据-汇总表'!H17:H27))</f>
        <v>30136.12</v>
      </c>
      <c r="M19" s="2418">
        <f>IF(C1="",'数据-汇总表'!D3,SUMIF(项目类型,C1,'数据-汇总表'!D17:D26))</f>
        <v>30136.12</v>
      </c>
    </row>
    <row r="20" spans="1:35" ht="15">
      <c r="A20" s="2427"/>
      <c r="B20" s="1245" t="s">
        <v>2148</v>
      </c>
      <c r="C20" s="145">
        <f ca="1">SUMIF(INDIRECT("'"&amp;C4&amp;"'"&amp;"!A:A"),结果表!B20,INDIRECT("'"&amp;C4&amp;"'"&amp;"!B:B"))</f>
        <v>6073</v>
      </c>
      <c r="D20" s="146">
        <f ca="1">SUMIF(INDIRECT("'"&amp;D4&amp;"'"&amp;"!A:A"),结果表!B20,INDIRECT("'"&amp;D4&amp;"'"&amp;"!B:B"))</f>
        <v>7378</v>
      </c>
      <c r="E20" s="2427"/>
      <c r="F20" s="1245" t="s">
        <v>2148</v>
      </c>
      <c r="G20" s="147">
        <f ca="1">ROUND(C20*$C$18+D20*$D$18,0)</f>
        <v>6726</v>
      </c>
      <c r="H20" s="978" t="s">
        <v>2149</v>
      </c>
      <c r="I20" s="137"/>
      <c r="J20" s="794">
        <f ca="1">G19*10000/'数据-汇总表'!D3/'数据-汇总表'!I7</f>
        <v>8617.810997687704</v>
      </c>
    </row>
    <row r="21" spans="1:35" ht="15" customHeight="1" thickBot="1">
      <c r="A21" s="998"/>
      <c r="B21" s="2428" t="s">
        <v>2150</v>
      </c>
      <c r="C21" s="788">
        <f ca="1">ROUND(C19*10000/L19,0)</f>
        <v>27390</v>
      </c>
      <c r="D21" s="789">
        <f ca="1">ROUND(D19*10000/L19,0)</f>
        <v>33279</v>
      </c>
      <c r="E21" s="998"/>
      <c r="F21" s="2428" t="s">
        <v>2150</v>
      </c>
      <c r="G21" s="148">
        <f ca="1">ROUND(G19*10000/L19,0)</f>
        <v>30335</v>
      </c>
      <c r="H21" s="2429" t="s">
        <v>2149</v>
      </c>
      <c r="I21" s="137"/>
    </row>
    <row r="22" spans="1:35" ht="15" thickBot="1">
      <c r="A22" s="2270" t="s">
        <v>2151</v>
      </c>
      <c r="B22" s="2430"/>
      <c r="C22" s="2431"/>
      <c r="D22" s="790">
        <f ca="1">IF(C19&lt;D19,D19/C19-1,C19/D19-1)</f>
        <v>0.21497625508819529</v>
      </c>
      <c r="E22" s="137"/>
      <c r="F22" s="137"/>
      <c r="G22" s="137"/>
      <c r="H22" s="137"/>
      <c r="I22" s="137"/>
    </row>
    <row r="23" spans="1:35" ht="13.5" thickBot="1">
      <c r="A23" s="2408"/>
      <c r="B23" s="2408"/>
      <c r="C23" s="2408"/>
      <c r="D23" s="2408"/>
      <c r="E23" s="137"/>
      <c r="F23" s="137"/>
      <c r="G23" s="137"/>
      <c r="H23" s="137"/>
      <c r="I23" s="137"/>
    </row>
    <row r="24" spans="1:35" ht="14.25">
      <c r="A24" s="3094" t="s">
        <v>2152</v>
      </c>
      <c r="B24" s="2425" t="s">
        <v>2144</v>
      </c>
      <c r="C24" s="144">
        <f>IF(B30=0,0,D30)</f>
        <v>0</v>
      </c>
      <c r="D24" s="2432"/>
      <c r="E24" s="137"/>
      <c r="F24" s="137"/>
      <c r="G24" s="137"/>
      <c r="H24" s="137"/>
      <c r="I24" s="137"/>
    </row>
    <row r="25" spans="1:35" ht="14.25">
      <c r="A25" s="3095"/>
      <c r="B25" s="1245" t="s">
        <v>2148</v>
      </c>
      <c r="C25" s="149">
        <f>IF(B30=0,0,C30)</f>
        <v>0</v>
      </c>
      <c r="D25" s="2433"/>
      <c r="E25" s="137"/>
      <c r="F25" s="137"/>
      <c r="G25" s="137"/>
      <c r="H25" s="137"/>
      <c r="I25" s="137"/>
    </row>
    <row r="26" spans="1:35" ht="13.5" customHeight="1">
      <c r="A26" s="2434" t="s">
        <v>2153</v>
      </c>
      <c r="B26" s="150" t="s">
        <v>2154</v>
      </c>
      <c r="C26" s="150" t="s">
        <v>2155</v>
      </c>
      <c r="D26" s="151" t="s">
        <v>2156</v>
      </c>
      <c r="E26" s="137"/>
      <c r="F26" s="137"/>
      <c r="G26" s="137"/>
      <c r="H26" s="137"/>
      <c r="I26" s="137"/>
    </row>
    <row r="27" spans="1:35" ht="14.25">
      <c r="A27" s="2980" t="s">
        <v>3470</v>
      </c>
      <c r="B27" s="150">
        <f>测绘!B3-测绘!B2</f>
        <v>670.48000000001048</v>
      </c>
      <c r="C27" s="150">
        <f>'土地比较法-住宅、综合'!C48</f>
        <v>5981</v>
      </c>
      <c r="D27" s="151">
        <f>ROUND(C27*B27/10000,0)</f>
        <v>401</v>
      </c>
      <c r="E27" s="137"/>
      <c r="F27" s="137"/>
      <c r="G27" s="137"/>
      <c r="H27" s="137"/>
      <c r="I27" s="137"/>
    </row>
    <row r="28" spans="1:35" ht="14.25">
      <c r="A28" s="2434"/>
      <c r="B28" s="150"/>
      <c r="C28" s="150"/>
      <c r="D28" s="151"/>
      <c r="E28" s="137"/>
      <c r="F28" s="137"/>
      <c r="G28" s="137"/>
      <c r="H28" s="137"/>
      <c r="I28" s="137"/>
    </row>
    <row r="29" spans="1:35" ht="14.25">
      <c r="A29" s="2434"/>
      <c r="B29" s="150"/>
      <c r="C29" s="150"/>
      <c r="D29" s="151"/>
      <c r="E29" s="137"/>
      <c r="F29" s="137"/>
      <c r="G29" s="137"/>
      <c r="H29" s="137"/>
      <c r="I29" s="137"/>
    </row>
    <row r="30" spans="1:35" ht="14.25">
      <c r="A30" s="150" t="s">
        <v>2157</v>
      </c>
      <c r="B30" s="150"/>
      <c r="C30" s="150"/>
      <c r="D30" s="150">
        <f>D27</f>
        <v>401</v>
      </c>
      <c r="E30" s="2915" t="s">
        <v>3028</v>
      </c>
      <c r="F30" s="137"/>
      <c r="G30" s="137"/>
      <c r="H30" s="137"/>
      <c r="I30" s="137"/>
    </row>
    <row r="31" spans="1:35" s="2436" customFormat="1" ht="15" thickBot="1">
      <c r="A31" s="2435"/>
      <c r="B31" s="2435"/>
      <c r="C31" s="2435"/>
      <c r="D31" s="2435"/>
      <c r="E31" s="137"/>
      <c r="F31" s="137"/>
      <c r="G31" s="137"/>
      <c r="H31" s="137"/>
      <c r="I31" s="137"/>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75" thickBot="1">
      <c r="A32" s="2437" t="s">
        <v>2158</v>
      </c>
      <c r="B32" s="2438"/>
      <c r="C32" s="152">
        <f ca="1">IF(D32="总价",G19-C24,G20-C25)</f>
        <v>91417</v>
      </c>
      <c r="D32" s="2439" t="s">
        <v>2159</v>
      </c>
      <c r="E32" s="137"/>
      <c r="F32" s="137"/>
      <c r="G32" s="137"/>
      <c r="H32" s="137"/>
      <c r="I32" s="137"/>
    </row>
    <row r="33" spans="1:15" ht="15">
      <c r="A33" s="955" t="s">
        <v>2160</v>
      </c>
      <c r="B33" s="2440"/>
      <c r="C33" s="2441" t="s">
        <v>3098</v>
      </c>
      <c r="D33" s="2442" t="s">
        <v>3099</v>
      </c>
      <c r="E33" s="2443" t="s">
        <v>2161</v>
      </c>
      <c r="F33" s="2444" t="str">
        <f>IF(D32="楼面单价","取值（单价）","取值（总价）")</f>
        <v>取值（总价）</v>
      </c>
      <c r="G33" s="137"/>
      <c r="H33" s="137"/>
      <c r="I33" s="137"/>
    </row>
    <row r="34" spans="1:15" ht="15">
      <c r="A34" s="2445"/>
      <c r="B34" s="2446" t="s">
        <v>2162</v>
      </c>
      <c r="C34" s="156">
        <f ca="1">IF(C33="自定义",F34,C32-C35)</f>
        <v>89132</v>
      </c>
      <c r="D34" s="1053">
        <f ca="1">IF(C33="自定义",ROUND(C34/C32,3),IF(C33="收益比率",SUMIF(INDIRECT("'"&amp;D33&amp;"'"&amp;"!b:b"),"土地收益比率",INDIRECT("'"&amp;D33&amp;"'"&amp;"!c:c")),SUMIF(INDIRECT("'"&amp;D33&amp;"'"&amp;"!b:b"),"土地成本比率",INDIRECT("'"&amp;D33&amp;"'"&amp;"!c:c"))))</f>
        <v>0.97499999999999998</v>
      </c>
      <c r="E34" s="2447" t="s">
        <v>2163</v>
      </c>
      <c r="F34" s="1732"/>
      <c r="G34" s="137"/>
      <c r="H34" s="137"/>
      <c r="I34" s="137"/>
    </row>
    <row r="35" spans="1:15" ht="15.75" thickBot="1">
      <c r="A35" s="2448"/>
      <c r="B35" s="2449" t="s">
        <v>2164</v>
      </c>
      <c r="C35" s="1438">
        <f ca="1">IF(C33="自定义",F35,ROUND(C32*D35,0))</f>
        <v>2285</v>
      </c>
      <c r="D35" s="1439">
        <f ca="1">IF(C33="自定义",ROUND(C35/C32,3),IF(C33="收益比率",SUMIF(INDIRECT("'"&amp;D33&amp;"'"&amp;"!b:b"),"建筑物收益比率",INDIRECT("'"&amp;D33&amp;"'"&amp;"!c:c")),SUMIF(INDIRECT("'"&amp;D33&amp;"'"&amp;"!b:b"),"建筑物成本比率",INDIRECT("'"&amp;D33&amp;"'"&amp;"!c:c"))))</f>
        <v>2.5000000000000001E-2</v>
      </c>
      <c r="E35" s="2450" t="s">
        <v>2165</v>
      </c>
      <c r="F35" s="162"/>
      <c r="G35" s="137"/>
      <c r="H35" s="137"/>
      <c r="I35" s="137"/>
    </row>
    <row r="36" spans="1:15" ht="15.75" thickBot="1">
      <c r="A36" s="3112" t="s">
        <v>2166</v>
      </c>
      <c r="B36" s="2451" t="s">
        <v>2167</v>
      </c>
      <c r="C36" s="153"/>
      <c r="D36" s="2452"/>
      <c r="E36" s="2453"/>
      <c r="F36" s="2454"/>
      <c r="G36" s="137"/>
      <c r="H36" s="137"/>
      <c r="I36" s="137"/>
    </row>
    <row r="37" spans="1:15" ht="15.75" thickBot="1">
      <c r="A37" s="3113"/>
      <c r="B37" s="2256" t="s">
        <v>2168</v>
      </c>
      <c r="C37" s="155"/>
      <c r="D37" s="1389"/>
      <c r="E37" s="1389"/>
      <c r="F37" s="2454"/>
      <c r="G37" s="137"/>
      <c r="H37" s="137"/>
      <c r="I37" s="137"/>
    </row>
    <row r="38" spans="1:15" ht="15.75" thickBot="1">
      <c r="A38" s="3114"/>
      <c r="B38" s="2455" t="s">
        <v>2169</v>
      </c>
      <c r="C38" s="726">
        <f>ROUND(D30*(1+'数据-取费表'!B48+'数据-取费表'!B49),0)</f>
        <v>413</v>
      </c>
      <c r="D38" s="2456" t="s">
        <v>2170</v>
      </c>
      <c r="E38" s="1389"/>
      <c r="F38" s="2454"/>
      <c r="G38" s="137"/>
      <c r="H38" s="137"/>
      <c r="I38" s="137"/>
    </row>
    <row r="39" spans="1:15" ht="15">
      <c r="A39" s="2427" t="s">
        <v>2171</v>
      </c>
      <c r="B39" s="2457" t="s">
        <v>2172</v>
      </c>
      <c r="C39" s="2458" t="s">
        <v>2173</v>
      </c>
      <c r="D39" s="2458" t="s">
        <v>2174</v>
      </c>
      <c r="E39" s="2459" t="s">
        <v>2175</v>
      </c>
      <c r="F39" s="2454"/>
      <c r="G39" s="137"/>
      <c r="H39" s="137"/>
      <c r="I39" s="137"/>
    </row>
    <row r="40" spans="1:15" ht="14.25">
      <c r="A40" s="2460" t="s">
        <v>2176</v>
      </c>
      <c r="B40" s="157"/>
      <c r="C40" s="158"/>
      <c r="D40" s="158"/>
      <c r="E40" s="159"/>
      <c r="F40" s="2454"/>
      <c r="G40" s="137"/>
      <c r="H40" s="137"/>
      <c r="I40" s="137"/>
    </row>
    <row r="41" spans="1:15" ht="14.25">
      <c r="A41" s="2460" t="s">
        <v>2177</v>
      </c>
      <c r="B41" s="157"/>
      <c r="C41" s="158"/>
      <c r="D41" s="158"/>
      <c r="E41" s="159"/>
      <c r="F41" s="2454"/>
      <c r="G41" s="137"/>
      <c r="H41" s="137"/>
      <c r="I41" s="137"/>
    </row>
    <row r="42" spans="1:15" ht="15" thickBot="1">
      <c r="A42" s="2461"/>
      <c r="B42" s="160"/>
      <c r="C42" s="161"/>
      <c r="D42" s="161"/>
      <c r="E42" s="162"/>
      <c r="F42" s="2454"/>
      <c r="G42" s="137"/>
      <c r="H42" s="137"/>
      <c r="I42" s="137"/>
    </row>
    <row r="43" spans="1:15" ht="12.75">
      <c r="A43" s="2155"/>
      <c r="B43" s="2155"/>
      <c r="C43" s="2155"/>
      <c r="D43" s="2155"/>
      <c r="E43" s="2155"/>
      <c r="F43" s="2462"/>
      <c r="G43" s="2462"/>
      <c r="H43" s="2462"/>
      <c r="I43" s="2463"/>
    </row>
    <row r="44" spans="1:15" ht="18.75">
      <c r="A44" s="2464" t="s">
        <v>2178</v>
      </c>
      <c r="B44" s="2465"/>
      <c r="C44" s="2465"/>
      <c r="D44" s="2466"/>
      <c r="E44" s="2466"/>
      <c r="F44" s="2467"/>
      <c r="G44" s="2467"/>
      <c r="H44" s="2467"/>
      <c r="I44" s="2467"/>
      <c r="J44" s="2468" t="s">
        <v>2179</v>
      </c>
      <c r="K44" s="2469"/>
      <c r="L44" s="2469"/>
      <c r="M44" s="2469"/>
      <c r="N44" s="2469"/>
      <c r="O44" s="2469"/>
    </row>
    <row r="45" spans="1:15" ht="14.25" customHeight="1" thickBot="1">
      <c r="A45" s="3091" t="s">
        <v>2180</v>
      </c>
      <c r="B45" s="3092"/>
      <c r="C45" s="3093"/>
      <c r="D45" s="163">
        <f ca="1">ROUND(H101*F45,0)</f>
        <v>91417</v>
      </c>
      <c r="E45" s="164" t="s">
        <v>2181</v>
      </c>
      <c r="F45" s="165">
        <v>1</v>
      </c>
      <c r="G45" s="166" t="s">
        <v>2182</v>
      </c>
      <c r="H45" s="137"/>
      <c r="I45" s="137"/>
      <c r="J45" s="3151" t="s">
        <v>2183</v>
      </c>
      <c r="K45" s="3151"/>
      <c r="L45" s="3151"/>
      <c r="M45" s="3151"/>
      <c r="N45" s="3151"/>
      <c r="O45" s="3151"/>
    </row>
    <row r="46" spans="1:15" ht="14.25" customHeight="1">
      <c r="A46" s="3088" t="s">
        <v>2184</v>
      </c>
      <c r="B46" s="3089"/>
      <c r="C46" s="3089"/>
      <c r="D46" s="3089"/>
      <c r="E46" s="3089"/>
      <c r="F46" s="3089"/>
      <c r="G46" s="3090"/>
      <c r="H46" s="2470"/>
      <c r="I46" s="167"/>
      <c r="J46" s="1805">
        <v>1</v>
      </c>
      <c r="K46" s="3151" t="s">
        <v>2185</v>
      </c>
      <c r="L46" s="3151"/>
      <c r="M46" s="3171"/>
      <c r="N46" s="3171"/>
      <c r="O46" s="3171"/>
    </row>
    <row r="47" spans="1:15" ht="12" customHeight="1">
      <c r="A47" s="168" t="s">
        <v>2186</v>
      </c>
      <c r="B47" s="169"/>
      <c r="C47" s="170"/>
      <c r="D47" s="171" t="s">
        <v>2187</v>
      </c>
      <c r="E47" s="24" t="s">
        <v>2188</v>
      </c>
      <c r="F47" s="172" t="s">
        <v>2189</v>
      </c>
      <c r="G47" s="173" t="s">
        <v>2190</v>
      </c>
      <c r="H47" s="2470"/>
      <c r="I47" s="167"/>
      <c r="J47" s="1805">
        <v>2</v>
      </c>
      <c r="K47" s="3151" t="s">
        <v>2191</v>
      </c>
      <c r="L47" s="3151"/>
      <c r="M47" s="3172">
        <f>'数据-取费表'!B2</f>
        <v>43424</v>
      </c>
      <c r="N47" s="3172"/>
      <c r="O47" s="3172"/>
    </row>
    <row r="48" spans="1:15" ht="25.5">
      <c r="A48" s="3119" t="s">
        <v>2192</v>
      </c>
      <c r="B48" s="3102"/>
      <c r="C48" s="3102"/>
      <c r="D48" s="139">
        <f ca="1">IF(H48="情况1",0,IF(H48="情况2",D52,IF(H48="情况3",D53,IF(H48="情况4",D54))))</f>
        <v>4876</v>
      </c>
      <c r="E48" s="1794" t="str">
        <f>IF(H48="情况4","(销售额-原购置价)×税（费）率","销售额×税（费）率")</f>
        <v>销售额×税（费）率</v>
      </c>
      <c r="F48" s="174">
        <f>IF(H48="情况1","免征",'数据-取费表'!B41)</f>
        <v>5.6000000000000001E-2</v>
      </c>
      <c r="G48" s="2471" t="s">
        <v>2193</v>
      </c>
      <c r="H48" s="2472" t="s">
        <v>3100</v>
      </c>
      <c r="I48" s="2470"/>
      <c r="J48" s="1805">
        <v>3</v>
      </c>
      <c r="K48" s="3151" t="s">
        <v>2194</v>
      </c>
      <c r="L48" s="3151"/>
      <c r="M48" s="3173">
        <f ca="1">H101</f>
        <v>91417</v>
      </c>
      <c r="N48" s="3173"/>
      <c r="O48" s="3173"/>
    </row>
    <row r="49" spans="1:35" ht="25.5" customHeight="1">
      <c r="A49" s="175" t="s">
        <v>2195</v>
      </c>
      <c r="B49" s="3087" t="s">
        <v>2196</v>
      </c>
      <c r="C49" s="3087"/>
      <c r="D49" s="176">
        <v>0</v>
      </c>
      <c r="E49" s="23" t="s">
        <v>2197</v>
      </c>
      <c r="F49" s="28" t="s">
        <v>34</v>
      </c>
      <c r="G49" s="3157"/>
      <c r="H49" s="137"/>
      <c r="I49" s="2473"/>
      <c r="J49" s="1805">
        <v>4</v>
      </c>
      <c r="K49" s="3151" t="str">
        <f>IF(项目基本情况!E8="房地产抵押价值","房地产抵押价值","抵押担保权已注销时的房地产抵押价值")</f>
        <v>抵押担保权已注销时的房地产抵押价值</v>
      </c>
      <c r="L49" s="3151"/>
      <c r="M49" s="3173">
        <f ca="1">IF(项目基本情况!E8="房地产抵押价值",H107,H109)</f>
        <v>91004</v>
      </c>
      <c r="N49" s="3173"/>
      <c r="O49" s="3173"/>
    </row>
    <row r="50" spans="1:35" ht="25.5" customHeight="1">
      <c r="A50" s="177"/>
      <c r="B50" s="3087" t="s">
        <v>2198</v>
      </c>
      <c r="C50" s="3087"/>
      <c r="D50" s="178"/>
      <c r="E50" s="31"/>
      <c r="F50" s="179"/>
      <c r="G50" s="3158"/>
      <c r="H50" s="137"/>
      <c r="I50" s="2473"/>
      <c r="J50" s="3151" t="s">
        <v>2199</v>
      </c>
      <c r="K50" s="3151"/>
      <c r="L50" s="3151"/>
      <c r="M50" s="3151"/>
      <c r="N50" s="3151"/>
      <c r="O50" s="3151"/>
    </row>
    <row r="51" spans="1:35" ht="12" customHeight="1">
      <c r="A51" s="180"/>
      <c r="B51" s="3087" t="s">
        <v>2200</v>
      </c>
      <c r="C51" s="3087"/>
      <c r="D51" s="181"/>
      <c r="E51" s="30"/>
      <c r="F51" s="179"/>
      <c r="G51" s="3159"/>
      <c r="H51" s="137"/>
      <c r="I51" s="2473"/>
      <c r="J51" s="2474" t="s">
        <v>2201</v>
      </c>
      <c r="K51" s="3151" t="s">
        <v>2202</v>
      </c>
      <c r="L51" s="3151"/>
      <c r="M51" s="2474" t="s">
        <v>2203</v>
      </c>
      <c r="N51" s="2474" t="s">
        <v>2204</v>
      </c>
      <c r="O51" s="2474" t="s">
        <v>2205</v>
      </c>
    </row>
    <row r="52" spans="1:35" ht="24" customHeight="1">
      <c r="A52" s="182" t="s">
        <v>2206</v>
      </c>
      <c r="B52" s="3087" t="s">
        <v>2207</v>
      </c>
      <c r="C52" s="3087"/>
      <c r="D52" s="181">
        <f ca="1">ROUND(D45*'数据-取费表'!B41/(1+'数据-取费表'!C42),0)</f>
        <v>4876</v>
      </c>
      <c r="E52" s="11" t="s">
        <v>2208</v>
      </c>
      <c r="F52" s="183">
        <f>'数据-取费表'!B41</f>
        <v>5.6000000000000001E-2</v>
      </c>
      <c r="G52" s="2475"/>
      <c r="H52" s="137"/>
      <c r="I52" s="2473"/>
      <c r="J52" s="1805">
        <v>1</v>
      </c>
      <c r="K52" s="3152" t="s">
        <v>2209</v>
      </c>
      <c r="L52" s="3152"/>
      <c r="M52" s="1747">
        <f ca="1">D48</f>
        <v>4876</v>
      </c>
      <c r="N52" s="1805" t="str">
        <f>E48</f>
        <v>销售额×税（费）率</v>
      </c>
      <c r="O52" s="1748">
        <f>F48</f>
        <v>5.6000000000000001E-2</v>
      </c>
    </row>
    <row r="53" spans="1:35" ht="12" customHeight="1">
      <c r="A53" s="182" t="s">
        <v>2210</v>
      </c>
      <c r="B53" s="3110" t="s">
        <v>2211</v>
      </c>
      <c r="C53" s="3111"/>
      <c r="D53" s="181">
        <f ca="1">ROUND(D45*'数据-取费表'!B41/(1+'数据-取费表'!C42),0)</f>
        <v>4876</v>
      </c>
      <c r="E53" s="11" t="s">
        <v>2208</v>
      </c>
      <c r="F53" s="183">
        <f>'数据-取费表'!B41</f>
        <v>5.6000000000000001E-2</v>
      </c>
      <c r="G53" s="2475"/>
      <c r="H53" s="137"/>
      <c r="I53" s="2473"/>
      <c r="J53" s="1805">
        <v>2</v>
      </c>
      <c r="K53" s="3152" t="s">
        <v>2212</v>
      </c>
      <c r="L53" s="3152"/>
      <c r="M53" s="1747">
        <f t="shared" ref="M53:O54" ca="1" si="0">D55</f>
        <v>46</v>
      </c>
      <c r="N53" s="1805" t="str">
        <f t="shared" si="0"/>
        <v>销售额×税（费）率</v>
      </c>
      <c r="O53" s="1748">
        <f t="shared" si="0"/>
        <v>5.0000000000000001E-4</v>
      </c>
    </row>
    <row r="54" spans="1:35" ht="12" customHeight="1">
      <c r="A54" s="182" t="s">
        <v>2213</v>
      </c>
      <c r="B54" s="3110" t="s">
        <v>2214</v>
      </c>
      <c r="C54" s="3111"/>
      <c r="D54" s="181">
        <f ca="1">C68</f>
        <v>4876</v>
      </c>
      <c r="E54" s="30" t="s">
        <v>2215</v>
      </c>
      <c r="F54" s="183">
        <f>'数据-取费表'!B41</f>
        <v>5.6000000000000001E-2</v>
      </c>
      <c r="G54" s="2475"/>
      <c r="H54" s="2476"/>
      <c r="I54" s="2473"/>
      <c r="J54" s="1805">
        <v>3</v>
      </c>
      <c r="K54" s="3152" t="s">
        <v>2216</v>
      </c>
      <c r="L54" s="3152"/>
      <c r="M54" s="1747">
        <f t="shared" ca="1" si="0"/>
        <v>51743</v>
      </c>
      <c r="N54" s="1805" t="str">
        <f t="shared" si="0"/>
        <v>增值额×税（费）率</v>
      </c>
      <c r="O54" s="1749" t="str">
        <f t="shared" si="0"/>
        <v>——</v>
      </c>
    </row>
    <row r="55" spans="1:35" ht="24" customHeight="1">
      <c r="A55" s="3101" t="s">
        <v>2217</v>
      </c>
      <c r="B55" s="3102"/>
      <c r="C55" s="3102"/>
      <c r="D55" s="184">
        <f ca="1">IF(H55="个人住宅",0,ROUND(D45*I55,0))</f>
        <v>46</v>
      </c>
      <c r="E55" s="11" t="s">
        <v>2218</v>
      </c>
      <c r="F55" s="183">
        <f>IF(H55="正常",I55,"免征")</f>
        <v>5.0000000000000001E-4</v>
      </c>
      <c r="G55" s="2475"/>
      <c r="H55" s="2472" t="s">
        <v>2219</v>
      </c>
      <c r="I55" s="185">
        <f>'数据-取费表'!B49</f>
        <v>5.0000000000000001E-4</v>
      </c>
      <c r="J55" s="1805" t="str">
        <f>IF(H59="非个人房产","",4)</f>
        <v/>
      </c>
      <c r="K55" s="3152" t="str">
        <f>IF(H59="非个人房产","——","个人所得税")</f>
        <v>——</v>
      </c>
      <c r="L55" s="3152"/>
      <c r="M55" s="1750" t="str">
        <f>D59</f>
        <v>——</v>
      </c>
      <c r="N55" s="1803" t="str">
        <f>E59</f>
        <v>——</v>
      </c>
      <c r="O55" s="1751" t="str">
        <f>F59</f>
        <v>——</v>
      </c>
    </row>
    <row r="56" spans="1:35" ht="24.75">
      <c r="A56" s="3101" t="s">
        <v>2220</v>
      </c>
      <c r="B56" s="3102"/>
      <c r="C56" s="3102"/>
      <c r="D56" s="184">
        <f ca="1">IF(H56="个人住宅",D57,D58)</f>
        <v>51743</v>
      </c>
      <c r="E56" s="11" t="s">
        <v>2221</v>
      </c>
      <c r="F56" s="183" t="str">
        <f>IF(H56="正常",F58,"免征")</f>
        <v>——</v>
      </c>
      <c r="G56" s="2477" t="s">
        <v>2222</v>
      </c>
      <c r="H56" s="2478" t="s">
        <v>2219</v>
      </c>
      <c r="I56" s="2479"/>
      <c r="J56" s="1805" t="str">
        <f>IF(项目基本情况!K6="上海银行",IF(J55="",4,J55+1),"")</f>
        <v/>
      </c>
      <c r="K56" s="3175" t="str">
        <f>IF(项目基本情况!K6="上海银行","其他处置费用","")</f>
        <v/>
      </c>
      <c r="L56" s="3176"/>
      <c r="M56" s="1747" t="str">
        <f>IF(项目基本情况!K6="上海银行",M69,"")</f>
        <v/>
      </c>
      <c r="N56" s="3178" t="str">
        <f>IF(项目基本情况!K6="上海银行","包含处置中涉及的律师、诉讼、拍卖、评估等费用","")</f>
        <v/>
      </c>
      <c r="O56" s="3179"/>
    </row>
    <row r="57" spans="1:35" ht="12.75">
      <c r="A57" s="182" t="s">
        <v>2195</v>
      </c>
      <c r="B57" s="3117" t="s">
        <v>2223</v>
      </c>
      <c r="C57" s="3126"/>
      <c r="D57" s="186">
        <v>0</v>
      </c>
      <c r="E57" s="23" t="s">
        <v>2197</v>
      </c>
      <c r="F57" s="154"/>
      <c r="G57" s="2475"/>
      <c r="H57" s="2479"/>
      <c r="I57" s="2479"/>
      <c r="J57" s="3152">
        <f>IF(AND(J55="",J56=""),4,IF(项目基本情况!K6="上海银行",结果表!J56+1,结果表!J55+1))</f>
        <v>4</v>
      </c>
      <c r="K57" s="3152" t="s">
        <v>2224</v>
      </c>
      <c r="L57" s="2480" t="s">
        <v>2225</v>
      </c>
      <c r="M57" s="1752"/>
      <c r="N57" s="1753">
        <f ca="1">SUMIF(M52:M56,"&lt;9e307")</f>
        <v>56665</v>
      </c>
      <c r="O57" s="2481"/>
      <c r="P57" s="1746">
        <f ca="1">N57/M49</f>
        <v>0.62266493780493171</v>
      </c>
    </row>
    <row r="58" spans="1:35" ht="24.75">
      <c r="A58" s="182" t="s">
        <v>2206</v>
      </c>
      <c r="B58" s="3117" t="s">
        <v>2226</v>
      </c>
      <c r="C58" s="3118"/>
      <c r="D58" s="184">
        <f ca="1">IF(H58="转让取得",C81,C97)</f>
        <v>51743</v>
      </c>
      <c r="E58" s="11" t="s">
        <v>2221</v>
      </c>
      <c r="F58" s="24" t="s">
        <v>34</v>
      </c>
      <c r="G58" s="2475"/>
      <c r="H58" s="2478" t="s">
        <v>2227</v>
      </c>
      <c r="I58" s="2479"/>
      <c r="J58" s="3152"/>
      <c r="K58" s="3152"/>
      <c r="L58" s="2480" t="s">
        <v>2228</v>
      </c>
      <c r="M58" s="1754"/>
      <c r="N58" s="2482" t="str">
        <f ca="1">NUMBERSTRING(INT(N57*10000),2)&amp;"元整"</f>
        <v>伍亿陆仟陆佰陆拾伍万元整</v>
      </c>
      <c r="O58" s="2483"/>
    </row>
    <row r="59" spans="1:35" ht="24.75" thickBot="1">
      <c r="A59" s="3155" t="s">
        <v>2229</v>
      </c>
      <c r="B59" s="3156"/>
      <c r="C59" s="3156"/>
      <c r="D59" s="187" t="str">
        <f>IF(H59="非个人房产","——",IF(H59="个人住宅",0,ROUND(D45*I59,0)))</f>
        <v>——</v>
      </c>
      <c r="E59" s="188" t="str">
        <f>IF(H59="非个人房产","——","销售额×税（费）率")</f>
        <v>——</v>
      </c>
      <c r="F59" s="189" t="str">
        <f>IF(H59="非个人房产","——",IF(H59="个人住宅","免征",I59))</f>
        <v>——</v>
      </c>
      <c r="G59" s="2484" t="s">
        <v>2222</v>
      </c>
      <c r="H59" s="2478" t="s">
        <v>2230</v>
      </c>
      <c r="I59" s="190">
        <v>0.01</v>
      </c>
      <c r="J59" s="3153">
        <f>J57+1</f>
        <v>5</v>
      </c>
      <c r="K59" s="3152" t="s">
        <v>2231</v>
      </c>
      <c r="L59" s="1805" t="s">
        <v>2225</v>
      </c>
      <c r="M59" s="1755"/>
      <c r="N59" s="1756">
        <f ca="1">M49-N57</f>
        <v>34339</v>
      </c>
      <c r="O59" s="2485"/>
    </row>
    <row r="60" spans="1:35" ht="12" customHeight="1">
      <c r="A60" s="2486"/>
      <c r="B60" s="2408"/>
      <c r="C60" s="2408"/>
      <c r="D60" s="2408"/>
      <c r="E60" s="2156"/>
      <c r="F60" s="2479"/>
      <c r="G60" s="2479"/>
      <c r="H60" s="2487"/>
      <c r="I60" s="137"/>
      <c r="J60" s="3154"/>
      <c r="K60" s="3152"/>
      <c r="L60" s="2480" t="s">
        <v>2228</v>
      </c>
      <c r="M60" s="1754"/>
      <c r="N60" s="2482" t="str">
        <f ca="1">NUMBERSTRING(INT(N59*10000),2)&amp;"元整"</f>
        <v>叁亿肆仟叁佰叁拾玖万元整</v>
      </c>
      <c r="O60" s="2483"/>
    </row>
    <row r="61" spans="1:35" ht="13.5" thickBot="1">
      <c r="A61" s="3099" t="s">
        <v>2232</v>
      </c>
      <c r="B61" s="3099"/>
      <c r="C61" s="3099"/>
      <c r="D61" s="3099"/>
      <c r="E61" s="3099"/>
      <c r="F61" s="2479"/>
      <c r="G61" s="2479"/>
      <c r="H61" s="2487"/>
      <c r="I61" s="137"/>
      <c r="J61" s="1805">
        <f>J59+1</f>
        <v>6</v>
      </c>
      <c r="K61" s="3152" t="s">
        <v>2233</v>
      </c>
      <c r="L61" s="3152"/>
      <c r="M61" s="1757"/>
      <c r="N61" s="1758">
        <f ca="1">ROUND(N59*10000/'数据-汇总表'!E3,0)</f>
        <v>2526</v>
      </c>
      <c r="O61" s="2488"/>
    </row>
    <row r="62" spans="1:35" ht="12.75">
      <c r="A62" s="3115" t="s">
        <v>2234</v>
      </c>
      <c r="B62" s="3116"/>
      <c r="C62" s="1797"/>
      <c r="D62" s="1797" t="s">
        <v>2235</v>
      </c>
      <c r="E62" s="191" t="s">
        <v>2236</v>
      </c>
      <c r="F62" s="2479"/>
      <c r="G62" s="2479"/>
      <c r="H62" s="2487"/>
      <c r="I62" s="137"/>
    </row>
    <row r="63" spans="1:35" ht="12.75">
      <c r="A63" s="202" t="s">
        <v>775</v>
      </c>
      <c r="B63" s="192" t="s">
        <v>2237</v>
      </c>
      <c r="C63" s="193">
        <f ca="1">ROUND((C64+C65)/(1+'数据-取费表'!C42),0)</f>
        <v>87064</v>
      </c>
      <c r="D63" s="194"/>
      <c r="E63" s="195"/>
      <c r="F63" s="2479"/>
      <c r="G63" s="2479"/>
      <c r="H63" s="2487"/>
      <c r="I63" s="137"/>
      <c r="J63" s="3177" t="s">
        <v>2238</v>
      </c>
      <c r="K63" s="2489" t="s">
        <v>2239</v>
      </c>
      <c r="L63" s="1745">
        <f ca="1">IF(M49&gt;10000,M49*0.5%,IF(AND(M49&gt;1000,M49&lt;=10000),M49*1%,IF(AND(M49&gt;100,M49&lt;=1000),M49*3%,IF(AND(M49&gt;10,M49&lt;=100),M49*5%,M49*8%))))</f>
        <v>455.02</v>
      </c>
      <c r="M63" s="24">
        <f ca="1">ROUND(L63,1)</f>
        <v>455</v>
      </c>
      <c r="Z63" s="2413"/>
      <c r="AI63" s="2414"/>
    </row>
    <row r="64" spans="1:35" ht="14.25" customHeight="1">
      <c r="A64" s="196" t="s">
        <v>770</v>
      </c>
      <c r="B64" s="197" t="s">
        <v>2240</v>
      </c>
      <c r="C64" s="198">
        <f ca="1">D45</f>
        <v>91417</v>
      </c>
      <c r="D64" s="199" t="s">
        <v>32</v>
      </c>
      <c r="E64" s="200"/>
      <c r="F64" s="2479"/>
      <c r="G64" s="2479"/>
      <c r="H64" s="2487"/>
      <c r="I64" s="137"/>
      <c r="J64" s="3177"/>
      <c r="K64" s="2489" t="s">
        <v>2241</v>
      </c>
      <c r="L64" s="1745">
        <f ca="1">IF(M49&gt;2000,M49*0.5%,IF(AND(M49&gt;1000,M49&lt;=2000),M49*0.6%,IF(AND(M49&gt;500,M49&lt;=1000),M49*0.7%,IF(AND(M49&gt;200,M49&lt;=500),M49*0.8%,IF(AND(M49&gt;100,M49&lt;=200),M49*0.9%,IF(AND(M49&gt;50,M49&lt;=100),M49*1%,IF(AND(M49&gt;20,M49&lt;=50),M49*1.5%,IF(AND(M49&gt;10,M49&lt;=20),M49*2%,IF(AND(M49&gt;1,M49&lt;=10),M49*2.5%)))))))))</f>
        <v>455.02</v>
      </c>
      <c r="M64" s="24">
        <f t="shared" ref="M64:M65" ca="1" si="1">ROUND(L64,1)</f>
        <v>455</v>
      </c>
      <c r="N64" s="137" t="s">
        <v>2242</v>
      </c>
      <c r="Z64" s="2413"/>
      <c r="AI64" s="2414"/>
    </row>
    <row r="65" spans="1:35" ht="14.25" customHeight="1">
      <c r="A65" s="196" t="s">
        <v>771</v>
      </c>
      <c r="B65" s="197" t="s">
        <v>2243</v>
      </c>
      <c r="C65" s="201"/>
      <c r="D65" s="199"/>
      <c r="E65" s="200"/>
      <c r="F65" s="2479"/>
      <c r="G65" s="2479"/>
      <c r="H65" s="2487"/>
      <c r="I65" s="137"/>
      <c r="J65" s="3177"/>
      <c r="K65" s="2489" t="s">
        <v>2244</v>
      </c>
      <c r="L65" s="1745">
        <f ca="1">IF(M49&gt;1000,M49*0.1%,IF(AND(M49&gt;500,M49&lt;=1000),M49*0.5%,IF(AND(M49&gt;50,M49&lt;=500),M49*1%,IF(AND(M49&gt;1,M49&lt;=50),M49*1.5%))))</f>
        <v>91.004000000000005</v>
      </c>
      <c r="M65" s="24">
        <f t="shared" ca="1" si="1"/>
        <v>91</v>
      </c>
      <c r="N65" s="137" t="s">
        <v>2242</v>
      </c>
      <c r="Z65" s="2413"/>
      <c r="AI65" s="2414"/>
    </row>
    <row r="66" spans="1:35" ht="14.25" customHeight="1">
      <c r="A66" s="202" t="s">
        <v>772</v>
      </c>
      <c r="B66" s="203" t="s">
        <v>2245</v>
      </c>
      <c r="C66" s="204"/>
      <c r="D66" s="205" t="s">
        <v>32</v>
      </c>
      <c r="E66" s="1769" t="s">
        <v>1371</v>
      </c>
      <c r="F66" s="2479"/>
      <c r="G66" s="2479"/>
      <c r="H66" s="2487"/>
      <c r="I66" s="137"/>
      <c r="J66" s="3177"/>
      <c r="K66" s="2489" t="s">
        <v>2246</v>
      </c>
      <c r="L66" s="1745">
        <f ca="1">M49*0.5%</f>
        <v>455.02</v>
      </c>
      <c r="M66" s="24">
        <f ca="1">IF(L66&gt;0.5,0.5,ROUND(L66,0))</f>
        <v>0.5</v>
      </c>
      <c r="N66" s="137" t="s">
        <v>2247</v>
      </c>
      <c r="Z66" s="2413"/>
      <c r="AI66" s="2414"/>
    </row>
    <row r="67" spans="1:35" ht="14.25" customHeight="1">
      <c r="A67" s="202" t="s">
        <v>773</v>
      </c>
      <c r="B67" s="203" t="s">
        <v>2248</v>
      </c>
      <c r="C67" s="206">
        <f ca="1">C63-C66</f>
        <v>87064</v>
      </c>
      <c r="D67" s="199" t="s">
        <v>32</v>
      </c>
      <c r="E67" s="200"/>
      <c r="F67" s="2479"/>
      <c r="G67" s="2479"/>
      <c r="H67" s="2487"/>
      <c r="I67" s="137"/>
      <c r="J67" s="3177"/>
      <c r="K67" s="2489" t="s">
        <v>2249</v>
      </c>
      <c r="L67" s="1745">
        <f ca="1">IF(M49&gt;=10000,(8.25+(M49-10000)*0.01%),IF(AND(M49&gt;=8000,M49&lt;10000),(7.85+(M49-8000)*0.02%),IF(AND(M49&gt;=5000,M49&lt;8000),(6.65+(M49-5000)*0.04%),IF(AND(M49&gt;=2000,M49&lt;5000),(4.25+(PM49-2000)*0.08%),IF(AND(M49&gt;=1000,M49&lt;2000),(2.75+(M49-1000)*0.15%),IF(AND(M49&gt;=100,M49&lt;1000),(0.5+(M49-100)*0.25%),IF(AND(M49&gt;0,M49&lt;100),M49*0.5%)))))))</f>
        <v>16.3504</v>
      </c>
      <c r="M67" s="24">
        <f ca="1">ROUND(L67*0.9,1)</f>
        <v>14.7</v>
      </c>
      <c r="Z67" s="2413"/>
      <c r="AI67" s="2414"/>
    </row>
    <row r="68" spans="1:35" ht="14.25" customHeight="1" thickBot="1">
      <c r="A68" s="207" t="s">
        <v>774</v>
      </c>
      <c r="B68" s="208" t="s">
        <v>2250</v>
      </c>
      <c r="C68" s="209">
        <f ca="1">IF(C67&lt;=0,0,ROUND(C67*D68,0))</f>
        <v>4876</v>
      </c>
      <c r="D68" s="210">
        <f>'数据-取费表'!B41</f>
        <v>5.6000000000000001E-2</v>
      </c>
      <c r="E68" s="211"/>
      <c r="F68" s="2479"/>
      <c r="G68" s="2479"/>
      <c r="H68" s="2487"/>
      <c r="I68" s="137"/>
      <c r="J68" s="3177"/>
      <c r="K68" s="2489" t="s">
        <v>2251</v>
      </c>
      <c r="L68" s="1745">
        <f ca="1">IF(M49&gt;10000,M49*0.5%,IF(AND(M49&gt;5000,M49&lt;=10000),M49*1%,IF(AND(M49&gt;1000,M49&lt;=5000),M49*2%,IF(AND(M49&gt;200,M49&lt;=1000),M49*3%,M49*5%))))</f>
        <v>455.02</v>
      </c>
      <c r="M68" s="24">
        <f ca="1">ROUND(L68,1)</f>
        <v>455</v>
      </c>
      <c r="Z68" s="2413"/>
      <c r="AI68" s="2414"/>
    </row>
    <row r="69" spans="1:35" s="2436" customFormat="1" ht="16.5" customHeight="1">
      <c r="A69" s="2490"/>
      <c r="B69" s="2491"/>
      <c r="C69" s="2492"/>
      <c r="D69" s="2493"/>
      <c r="E69" s="2494"/>
      <c r="F69" s="2156"/>
      <c r="G69" s="2156"/>
      <c r="H69" s="2155"/>
      <c r="I69" s="2408"/>
      <c r="J69" s="3177"/>
      <c r="K69" s="2489" t="s">
        <v>2252</v>
      </c>
      <c r="L69" s="2495"/>
      <c r="M69" s="24">
        <f ca="1">ROUND(SUM(M63:M68),0)</f>
        <v>1471</v>
      </c>
      <c r="N69" s="1746">
        <f ca="1">M69/M49</f>
        <v>1.616412465386137E-2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5" thickBot="1">
      <c r="A70" s="3136" t="s">
        <v>2253</v>
      </c>
      <c r="B70" s="3137"/>
      <c r="C70" s="3137"/>
      <c r="D70" s="3137"/>
      <c r="E70" s="3137"/>
      <c r="F70" s="3137"/>
      <c r="G70" s="3137"/>
      <c r="H70" s="3137"/>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5" t="s">
        <v>2234</v>
      </c>
      <c r="B71" s="3116"/>
      <c r="C71" s="1797"/>
      <c r="D71" s="1797" t="s">
        <v>2235</v>
      </c>
      <c r="E71" s="212" t="s">
        <v>2236</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2" t="s">
        <v>775</v>
      </c>
      <c r="B72" s="203" t="s">
        <v>2254</v>
      </c>
      <c r="C72" s="206">
        <f ca="1">ROUND(D45/(1+'数据-取费表'!C42),0)</f>
        <v>87064</v>
      </c>
      <c r="D72" s="199" t="s">
        <v>32</v>
      </c>
      <c r="E72" s="1796"/>
      <c r="F72" s="1790"/>
      <c r="G72" s="1790"/>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2" t="s">
        <v>772</v>
      </c>
      <c r="B73" s="172" t="s">
        <v>2255</v>
      </c>
      <c r="C73" s="206">
        <f ca="1">C74+C78</f>
        <v>522</v>
      </c>
      <c r="D73" s="199" t="s">
        <v>32</v>
      </c>
      <c r="E73" s="1796"/>
      <c r="F73" s="1790"/>
      <c r="G73" s="1790"/>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2256</v>
      </c>
      <c r="C74" s="199">
        <f>ROUND(IF(G77="2016年5月1日后购买",C75/(1+'数据-取费表'!C42)+C76+C77,C75+C76+C77),0)</f>
        <v>0</v>
      </c>
      <c r="D74" s="199" t="s">
        <v>32</v>
      </c>
      <c r="E74" s="1796"/>
      <c r="F74" s="1790"/>
      <c r="G74" s="1790"/>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6" t="s">
        <v>776</v>
      </c>
      <c r="B75" s="197" t="s">
        <v>2257</v>
      </c>
      <c r="C75" s="217"/>
      <c r="D75" s="199" t="s">
        <v>32</v>
      </c>
      <c r="E75" s="218" t="s">
        <v>2258</v>
      </c>
      <c r="F75" s="2501" t="s">
        <v>2259</v>
      </c>
      <c r="G75" s="218" t="s">
        <v>2260</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2261</v>
      </c>
      <c r="C76" s="199">
        <f>IF(F75="购房发票",ROUND(C75*H75*D76,0),0)</f>
        <v>0</v>
      </c>
      <c r="D76" s="221">
        <v>0.05</v>
      </c>
      <c r="E76" s="3110" t="s">
        <v>2262</v>
      </c>
      <c r="F76" s="3087"/>
      <c r="G76" s="3087"/>
      <c r="H76" s="3135"/>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3" t="s">
        <v>2265</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2266</v>
      </c>
      <c r="C78" s="224">
        <f ca="1">ROUND(D45*D78/(1+'数据-取费表'!C42),0)</f>
        <v>522</v>
      </c>
      <c r="D78" s="225">
        <f>'数据-取费表'!B43</f>
        <v>6.000000000000001E-3</v>
      </c>
      <c r="E78" s="3096" t="s">
        <v>2267</v>
      </c>
      <c r="F78" s="3097"/>
      <c r="G78" s="3097"/>
      <c r="H78" s="3106"/>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3" t="s">
        <v>2268</v>
      </c>
      <c r="C79" s="206">
        <f ca="1">C72-C73</f>
        <v>86542</v>
      </c>
      <c r="D79" s="199" t="s">
        <v>32</v>
      </c>
      <c r="E79" s="1796"/>
      <c r="F79" s="1790"/>
      <c r="G79" s="1790"/>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2269</v>
      </c>
      <c r="C80" s="226">
        <f ca="1">IF(C79&lt;=0,0,C79/C73)</f>
        <v>165.78927203065135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8" t="s">
        <v>2270</v>
      </c>
      <c r="C81" s="227">
        <f ca="1">ROUND(IF(C79&lt;=0,0,IF(C80&gt;=200%,C79*60%-C73*35%,IF(C80&gt;=100%,C79*50%-C73*15%,IF(C80&gt;=50%,C79*40%-C73*5%,IF(C80&lt;50%,C79*30%,0))))),0)</f>
        <v>51743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36" t="s">
        <v>2271</v>
      </c>
      <c r="B83" s="3137"/>
      <c r="C83" s="3137"/>
      <c r="D83" s="3137"/>
      <c r="E83" s="3137"/>
      <c r="F83" s="3137"/>
      <c r="G83" s="3137"/>
      <c r="H83" s="3137"/>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5" t="s">
        <v>2234</v>
      </c>
      <c r="B84" s="3116"/>
      <c r="C84" s="1797"/>
      <c r="D84" s="1797" t="s">
        <v>2235</v>
      </c>
      <c r="E84" s="212" t="s">
        <v>2236</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2" t="s">
        <v>775</v>
      </c>
      <c r="B85" s="203" t="s">
        <v>2254</v>
      </c>
      <c r="C85" s="206">
        <f ca="1">ROUND(D45/(1+'数据-取费表'!C42),0)</f>
        <v>87064</v>
      </c>
      <c r="D85" s="199" t="s">
        <v>32</v>
      </c>
      <c r="E85" s="1796"/>
      <c r="F85" s="1790"/>
      <c r="G85" s="1790"/>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2" t="s">
        <v>772</v>
      </c>
      <c r="B86" s="172" t="s">
        <v>2255</v>
      </c>
      <c r="C86" s="206">
        <f ca="1">IF(H88="仅含出让金",C87+C90+C91+C92+C93+C94,C87+C91+C92+C93+C94)</f>
        <v>522</v>
      </c>
      <c r="D86" s="234"/>
      <c r="E86" s="1796"/>
      <c r="F86" s="1790"/>
      <c r="G86" s="1790"/>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6" t="s">
        <v>770</v>
      </c>
      <c r="B87" s="197" t="s">
        <v>2272</v>
      </c>
      <c r="C87" s="224">
        <f>C88+C89</f>
        <v>0</v>
      </c>
      <c r="D87" s="225"/>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6" t="s">
        <v>776</v>
      </c>
      <c r="B88" s="197" t="s">
        <v>2273</v>
      </c>
      <c r="C88" s="235"/>
      <c r="D88" s="225"/>
      <c r="E88" s="236" t="s">
        <v>2274</v>
      </c>
      <c r="F88" s="1793"/>
      <c r="G88" s="237" t="s">
        <v>2275</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6" t="s">
        <v>777</v>
      </c>
      <c r="B89" s="197" t="s">
        <v>2263</v>
      </c>
      <c r="C89" s="224">
        <f>ROUND(C88*D89,0)</f>
        <v>0</v>
      </c>
      <c r="D89" s="225">
        <f>'数据-取费表'!B48+'数据-取费表'!B49</f>
        <v>3.0499999999999999E-2</v>
      </c>
      <c r="E89" s="236" t="s">
        <v>2276</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6" t="s">
        <v>771</v>
      </c>
      <c r="B90" s="197" t="s">
        <v>2277</v>
      </c>
      <c r="C90" s="235"/>
      <c r="D90" s="225"/>
      <c r="E90" s="236"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2278</v>
      </c>
      <c r="B91" s="197" t="s">
        <v>2279</v>
      </c>
      <c r="C91" s="224">
        <f>IF(H91="——",成本法!C33,I91)</f>
        <v>0</v>
      </c>
      <c r="D91" s="225"/>
      <c r="E91" s="3096" t="s">
        <v>2280</v>
      </c>
      <c r="F91" s="3097"/>
      <c r="G91" s="3097"/>
      <c r="H91" s="2508" t="s">
        <v>2281</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2282</v>
      </c>
      <c r="B92" s="197" t="s">
        <v>2283</v>
      </c>
      <c r="C92" s="224">
        <f>ROUND((C87+C90+C91)*D92,0)</f>
        <v>0</v>
      </c>
      <c r="D92" s="225">
        <v>0.1</v>
      </c>
      <c r="E92" s="3096" t="s">
        <v>2284</v>
      </c>
      <c r="F92" s="3097"/>
      <c r="G92" s="3097"/>
      <c r="H92" s="3106"/>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2285</v>
      </c>
      <c r="B93" s="197" t="s">
        <v>2266</v>
      </c>
      <c r="C93" s="224">
        <f ca="1">ROUND(D45*D93/(1+'数据-取费表'!C42),0)</f>
        <v>522</v>
      </c>
      <c r="D93" s="225">
        <f>'数据-取费表'!B43</f>
        <v>6.000000000000001E-3</v>
      </c>
      <c r="E93" s="3096" t="s">
        <v>2267</v>
      </c>
      <c r="F93" s="3097"/>
      <c r="G93" s="3097"/>
      <c r="H93" s="3106"/>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2286</v>
      </c>
      <c r="B94" s="197" t="s">
        <v>2287</v>
      </c>
      <c r="C94" s="235">
        <f>ROUND((C87+C90+C91)*D94,0)</f>
        <v>0</v>
      </c>
      <c r="D94" s="225">
        <v>0.2</v>
      </c>
      <c r="E94" s="3107" t="s">
        <v>2288</v>
      </c>
      <c r="F94" s="3108"/>
      <c r="G94" s="3108"/>
      <c r="H94" s="310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3" t="s">
        <v>2268</v>
      </c>
      <c r="C95" s="206">
        <f ca="1">ROUND(C85-C86,0)</f>
        <v>86542</v>
      </c>
      <c r="D95" s="199" t="s">
        <v>32</v>
      </c>
      <c r="E95" s="1796"/>
      <c r="F95" s="1790"/>
      <c r="G95" s="1790"/>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2269</v>
      </c>
      <c r="C96" s="226">
        <f ca="1">IF(C95&lt;=0,0,C95/C86)</f>
        <v>165.78927203065135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8" t="s">
        <v>2270</v>
      </c>
      <c r="C97" s="227">
        <f ca="1">ROUND(IF(C95&lt;=0,0,IF(C96&gt;=200%,C95*60%-C86*35%,IF(C96&gt;=100%,C95*50%-C86*15%,IF(C96&gt;=50%,C95*40%-C86*5%,IF(C96&lt;50%,C95*30%,0))))),0)</f>
        <v>51743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7"/>
    </row>
    <row r="99" spans="1:35" ht="21.75" customHeight="1" thickBot="1">
      <c r="A99" s="2464" t="s">
        <v>2289</v>
      </c>
      <c r="B99" s="2408"/>
      <c r="C99" s="2408"/>
      <c r="D99" s="2408"/>
      <c r="E99" s="2156"/>
      <c r="F99" s="2156"/>
      <c r="G99" s="2156"/>
      <c r="H99" s="2155"/>
      <c r="I99" s="137"/>
    </row>
    <row r="100" spans="1:35" ht="18.75" customHeight="1">
      <c r="A100" s="3078" t="s">
        <v>2290</v>
      </c>
      <c r="B100" s="3079"/>
      <c r="C100" s="3079"/>
      <c r="D100" s="3098"/>
      <c r="E100" s="3079" t="s">
        <v>2291</v>
      </c>
      <c r="F100" s="3079"/>
      <c r="G100" s="3079"/>
      <c r="H100" s="3098"/>
      <c r="I100" s="137"/>
    </row>
    <row r="101" spans="1:35" ht="18.75" customHeight="1">
      <c r="A101" s="3160" t="s">
        <v>2292</v>
      </c>
      <c r="B101" s="3161"/>
      <c r="C101" s="735" t="str">
        <f>C4</f>
        <v>成本法</v>
      </c>
      <c r="D101" s="736" t="str">
        <f>D4</f>
        <v>假设开发法</v>
      </c>
      <c r="E101" s="3174" t="s">
        <v>2293</v>
      </c>
      <c r="F101" s="3128"/>
      <c r="G101" s="2510" t="s">
        <v>2294</v>
      </c>
      <c r="H101" s="1043">
        <f ca="1">H118</f>
        <v>91417</v>
      </c>
      <c r="I101" s="137"/>
    </row>
    <row r="102" spans="1:35" ht="18.75" customHeight="1">
      <c r="A102" s="3130" t="s">
        <v>2295</v>
      </c>
      <c r="B102" s="2510" t="s">
        <v>2294</v>
      </c>
      <c r="C102" s="735">
        <f ca="1">C19</f>
        <v>82544</v>
      </c>
      <c r="D102" s="736">
        <f ca="1">D19</f>
        <v>100289</v>
      </c>
      <c r="E102" s="3174"/>
      <c r="F102" s="3128"/>
      <c r="G102" s="2510" t="s">
        <v>2296</v>
      </c>
      <c r="H102" s="370">
        <f ca="1">I118</f>
        <v>6725</v>
      </c>
      <c r="I102" s="137"/>
    </row>
    <row r="103" spans="1:35" ht="42.75" customHeight="1">
      <c r="A103" s="3130"/>
      <c r="B103" s="2510" t="s">
        <v>2296</v>
      </c>
      <c r="C103" s="737">
        <f ca="1">C20</f>
        <v>6073</v>
      </c>
      <c r="D103" s="738">
        <f ca="1">D20</f>
        <v>7378</v>
      </c>
      <c r="E103" s="3169" t="s">
        <v>2297</v>
      </c>
      <c r="F103" s="3170"/>
      <c r="G103" s="2511" t="s">
        <v>2298</v>
      </c>
      <c r="H103" s="1043">
        <f>IF(D36="正常操作",H104+H105+H106,H105+H106)</f>
        <v>413</v>
      </c>
      <c r="I103" s="137"/>
    </row>
    <row r="104" spans="1:35" ht="18.75" customHeight="1">
      <c r="A104" s="3130" t="s">
        <v>2299</v>
      </c>
      <c r="B104" s="2512" t="s">
        <v>2294</v>
      </c>
      <c r="C104" s="739">
        <f ca="1">H118</f>
        <v>91417</v>
      </c>
      <c r="D104" s="740"/>
      <c r="E104" s="2256" t="s">
        <v>2300</v>
      </c>
      <c r="F104" s="2248"/>
      <c r="G104" s="2511" t="s">
        <v>2298</v>
      </c>
      <c r="H104" s="1044">
        <f>IF(D36="同一抵押权人同一抵押物续贷",C36&amp;"（未扣减，详见特别提示）",C36)</f>
        <v>0</v>
      </c>
      <c r="I104" s="137"/>
    </row>
    <row r="105" spans="1:35" ht="18.75" customHeight="1" thickBot="1">
      <c r="A105" s="3131"/>
      <c r="B105" s="2513" t="s">
        <v>2296</v>
      </c>
      <c r="C105" s="741">
        <f ca="1">I118</f>
        <v>6725</v>
      </c>
      <c r="D105" s="742"/>
      <c r="E105" s="2256" t="s">
        <v>2301</v>
      </c>
      <c r="F105" s="2248"/>
      <c r="G105" s="2511" t="s">
        <v>2298</v>
      </c>
      <c r="H105" s="1044">
        <f>C37</f>
        <v>0</v>
      </c>
      <c r="I105" s="137"/>
    </row>
    <row r="106" spans="1:35" ht="18.75" customHeight="1">
      <c r="A106" s="2408" t="s">
        <v>2302</v>
      </c>
      <c r="B106" s="2408"/>
      <c r="C106" s="2408"/>
      <c r="D106" s="2408"/>
      <c r="E106" s="2514" t="s">
        <v>2303</v>
      </c>
      <c r="F106" s="2248"/>
      <c r="G106" s="2511" t="s">
        <v>2298</v>
      </c>
      <c r="H106" s="1044">
        <f>C38</f>
        <v>413</v>
      </c>
      <c r="I106" s="137"/>
    </row>
    <row r="107" spans="1:35" ht="18.75" customHeight="1">
      <c r="A107" s="137"/>
      <c r="B107" s="137"/>
      <c r="C107" s="137"/>
      <c r="D107" s="137"/>
      <c r="E107" s="3127" t="str">
        <f>IF(项目基本情况!E8="已注销","——","3.房地产抵押价值")</f>
        <v>——</v>
      </c>
      <c r="F107" s="3128"/>
      <c r="G107" s="2510" t="s">
        <v>2294</v>
      </c>
      <c r="H107" s="1043" t="str">
        <f>IF(E107="——","——",H101-H103)</f>
        <v>——</v>
      </c>
      <c r="I107" s="137"/>
    </row>
    <row r="108" spans="1:35" ht="18.75" customHeight="1">
      <c r="A108" s="137"/>
      <c r="B108" s="137"/>
      <c r="C108" s="137"/>
      <c r="D108" s="137"/>
      <c r="E108" s="3127"/>
      <c r="F108" s="3128"/>
      <c r="G108" s="2510" t="s">
        <v>2296</v>
      </c>
      <c r="H108" s="370" t="e">
        <f>ROUND(H107*10000/'数据-汇总表'!E3,0)</f>
        <v>#VALUE!</v>
      </c>
      <c r="I108" s="137"/>
    </row>
    <row r="109" spans="1:35" ht="18.75" customHeight="1">
      <c r="A109" s="137"/>
      <c r="B109" s="137"/>
      <c r="C109" s="137"/>
      <c r="D109" s="137"/>
      <c r="E109" s="3127" t="str">
        <f>IF(项目基本情况!E8="已注销及未注销","4.抵押担保权已注销时的房地产抵押价值",IF(项目基本情况!E8="已注销","3.抵押担保权已注销时的房地产抵押价值","——"))</f>
        <v>3.抵押担保权已注销时的房地产抵押价值</v>
      </c>
      <c r="F109" s="3128"/>
      <c r="G109" s="2510" t="s">
        <v>2294</v>
      </c>
      <c r="H109" s="347">
        <f ca="1">IF(E109="——","——",H101-H105-H106)</f>
        <v>91004</v>
      </c>
      <c r="I109" s="137"/>
    </row>
    <row r="110" spans="1:35" ht="18.75" customHeight="1">
      <c r="A110" s="137"/>
      <c r="B110" s="137"/>
      <c r="C110" s="137"/>
      <c r="D110" s="137"/>
      <c r="E110" s="3127"/>
      <c r="F110" s="3128"/>
      <c r="G110" s="2510" t="s">
        <v>2296</v>
      </c>
      <c r="H110" s="370">
        <f ca="1">IF(H109="——","——",ROUND(H109*10000/'数据-汇总表'!E3,0))</f>
        <v>6695</v>
      </c>
      <c r="I110" s="137"/>
    </row>
    <row r="111" spans="1:35" ht="18.75" customHeight="1">
      <c r="A111" s="137"/>
      <c r="B111" s="137"/>
      <c r="C111" s="137"/>
      <c r="D111" s="137"/>
      <c r="E111" s="3162" t="str">
        <f>IF(项目基本情况!E9="抵押净值",IF(OR(项目基本情况!E8="已注销",项目基本情况!E8="房地产抵押价值"),"4.抵押净值","5.抵押净值"),"——")</f>
        <v>——</v>
      </c>
      <c r="F111" s="3163"/>
      <c r="G111" s="2510" t="s">
        <v>2294</v>
      </c>
      <c r="H111" s="1043" t="str">
        <f>IF(E111="——","——",N59)</f>
        <v>——</v>
      </c>
      <c r="I111" s="137"/>
    </row>
    <row r="112" spans="1:35" ht="18.75" customHeight="1" thickBot="1">
      <c r="A112" s="137"/>
      <c r="B112" s="137"/>
      <c r="C112" s="137"/>
      <c r="D112" s="137"/>
      <c r="E112" s="3164"/>
      <c r="F112" s="3165"/>
      <c r="G112" s="2515" t="s">
        <v>2296</v>
      </c>
      <c r="H112" s="789" t="str">
        <f>IF(E111="——","——",N61)</f>
        <v>——</v>
      </c>
      <c r="I112" s="137"/>
    </row>
    <row r="113" spans="1:11" ht="18.75" customHeight="1">
      <c r="A113" s="137"/>
      <c r="B113" s="137"/>
      <c r="C113" s="137"/>
      <c r="D113" s="137"/>
      <c r="E113" s="3132" t="s">
        <v>2302</v>
      </c>
      <c r="F113" s="3132"/>
      <c r="G113" s="3132"/>
      <c r="H113" s="3132"/>
      <c r="I113" s="137"/>
    </row>
    <row r="114" spans="1:11" ht="3.75" customHeight="1">
      <c r="A114" s="2408"/>
      <c r="B114" s="2408"/>
      <c r="C114" s="2408"/>
      <c r="D114" s="2408"/>
      <c r="E114" s="2486"/>
      <c r="F114" s="2486"/>
      <c r="G114" s="2486"/>
      <c r="H114" s="2486"/>
      <c r="I114" s="2408"/>
    </row>
    <row r="115" spans="1:11" ht="18.75" customHeight="1">
      <c r="A115" s="3145" t="s">
        <v>2304</v>
      </c>
      <c r="B115" s="3146"/>
      <c r="C115" s="3146"/>
      <c r="D115" s="3146"/>
      <c r="E115" s="3146"/>
      <c r="F115" s="3146"/>
      <c r="G115" s="3146"/>
      <c r="H115" s="3146"/>
      <c r="I115" s="3147"/>
    </row>
    <row r="116" spans="1:11" ht="27" customHeight="1">
      <c r="A116" s="3033" t="s">
        <v>2305</v>
      </c>
      <c r="B116" s="3133" t="s">
        <v>3101</v>
      </c>
      <c r="C116" s="3133" t="s">
        <v>3102</v>
      </c>
      <c r="D116" s="3149" t="s">
        <v>2306</v>
      </c>
      <c r="E116" s="3150"/>
      <c r="F116" s="3141" t="s">
        <v>2307</v>
      </c>
      <c r="G116" s="3141"/>
      <c r="H116" s="3033" t="s">
        <v>2308</v>
      </c>
      <c r="I116" s="3033"/>
    </row>
    <row r="117" spans="1:11" ht="18.75" customHeight="1">
      <c r="A117" s="3033"/>
      <c r="B117" s="3134"/>
      <c r="C117" s="3134"/>
      <c r="D117" s="1791" t="s">
        <v>2309</v>
      </c>
      <c r="E117" s="1791" t="s">
        <v>2310</v>
      </c>
      <c r="F117" s="1791" t="s">
        <v>2309</v>
      </c>
      <c r="G117" s="1791" t="s">
        <v>2311</v>
      </c>
      <c r="H117" s="1791" t="s">
        <v>2309</v>
      </c>
      <c r="I117" s="1791" t="s">
        <v>2311</v>
      </c>
    </row>
    <row r="118" spans="1:11" ht="24.75" customHeight="1">
      <c r="A118" s="2516" t="str">
        <f>项目基本情况!S2</f>
        <v>海南省海口市琼山区红城湖片区棚改项目D11-1地块出让国有建设用地使用权及在建建筑物房地产</v>
      </c>
      <c r="B118" s="1791">
        <f>M18</f>
        <v>135929.18</v>
      </c>
      <c r="C118" s="1791">
        <f>M19</f>
        <v>30136.12</v>
      </c>
      <c r="D118" s="1791">
        <f ca="1">ROUND(IF(D32="总价",C34,E118*B118/10000),0)</f>
        <v>89132</v>
      </c>
      <c r="E118" s="1791">
        <f ca="1">ROUND(IF(C33="自定义",IF(D32="楼面单价",C34,D118*10000/B118),I118-G118),0)</f>
        <v>6557</v>
      </c>
      <c r="F118" s="1791">
        <f ca="1">ROUND(IF(D32="总价",C35,G118*B118/10000),0)</f>
        <v>2285</v>
      </c>
      <c r="G118" s="1791">
        <f ca="1">ROUND(IF(D32="楼面单价",C35,F118*10000/B118),0)</f>
        <v>168</v>
      </c>
      <c r="H118" s="1791">
        <f ca="1">ROUND(IF(D32="总价",C32,I118*B118/10000),0)</f>
        <v>91417</v>
      </c>
      <c r="I118" s="1791">
        <f ca="1">ROUND(IF(D32="楼面单价",C32,H118*10000/B118),0)</f>
        <v>6725</v>
      </c>
    </row>
    <row r="119" spans="1:11" ht="18.75" customHeight="1">
      <c r="A119" s="3033" t="s">
        <v>2312</v>
      </c>
      <c r="B119" s="3033"/>
      <c r="C119" s="3033"/>
      <c r="D119" s="3138" t="str">
        <f ca="1">NUMBERSTRING(INT(D118*10000),2)&amp;"元整"</f>
        <v>捌亿玖仟壹佰叁拾贰万元整</v>
      </c>
      <c r="E119" s="3140"/>
      <c r="F119" s="3138" t="str">
        <f ca="1">NUMBERSTRING(INT(F118*10000),2)&amp;"元整"</f>
        <v>贰仟贰佰捌拾伍万元整</v>
      </c>
      <c r="G119" s="3140"/>
      <c r="H119" s="3138" t="str">
        <f ca="1">NUMBERSTRING(INT(H118*10000),2)&amp;"元整"</f>
        <v>玖亿壹仟肆佰壹拾柒万元整</v>
      </c>
      <c r="I119" s="3140"/>
    </row>
    <row r="120" spans="1:11" ht="18.75" customHeight="1">
      <c r="A120" s="3166" t="str">
        <f>IF(项目基本情况!B9="房地产市场价值","",MID(E103,3,LEN(E103)-2))</f>
        <v>估价师知悉的法定优先受偿款</v>
      </c>
      <c r="B120" s="3167"/>
      <c r="C120" s="3168"/>
      <c r="D120" s="3166">
        <f>H103</f>
        <v>413</v>
      </c>
      <c r="E120" s="3167"/>
      <c r="F120" s="3167"/>
      <c r="G120" s="3167"/>
      <c r="H120" s="3167"/>
      <c r="I120" s="3168"/>
      <c r="K120" s="2413" t="str">
        <f>IF(D120=0,"故，本次评估不存在"&amp;A120,"故，本次评估"&amp;A120&amp;"为人民币"&amp;D120&amp;"万元整。")</f>
        <v>故，本次评估估价师知悉的法定优先受偿款为人民币413万元整。</v>
      </c>
    </row>
    <row r="121" spans="1:11" ht="18.75" customHeight="1">
      <c r="A121" s="3142" t="s">
        <v>2312</v>
      </c>
      <c r="B121" s="3143"/>
      <c r="C121" s="3144"/>
      <c r="D121" s="3138" t="str">
        <f>IF(D120=0,"零元整",NUMBERSTRING(INT(D120*10000),2)&amp;"元整")</f>
        <v>肆佰壹拾叁万元整</v>
      </c>
      <c r="E121" s="3139"/>
      <c r="F121" s="3139"/>
      <c r="G121" s="3139"/>
      <c r="H121" s="3139"/>
      <c r="I121" s="3140"/>
    </row>
    <row r="122" spans="1:11" ht="18.75" customHeight="1">
      <c r="A122" s="3129" t="str">
        <f>IF(项目基本情况!B9="房地产市场价值","",MID(E107,3,LEN(E107)-2))</f>
        <v/>
      </c>
      <c r="B122" s="3129"/>
      <c r="C122" s="3129"/>
      <c r="D122" s="3166" t="str">
        <f>H107</f>
        <v>——</v>
      </c>
      <c r="E122" s="3167"/>
      <c r="F122" s="3167"/>
      <c r="G122" s="3167"/>
      <c r="H122" s="3167"/>
      <c r="I122" s="3168"/>
    </row>
    <row r="123" spans="1:11" ht="18.75" customHeight="1">
      <c r="A123" s="3033" t="s">
        <v>2312</v>
      </c>
      <c r="B123" s="3033"/>
      <c r="C123" s="3033"/>
      <c r="D123" s="3138" t="e">
        <f>NUMBERSTRING(INT(D122*10000),2)&amp;"元整"</f>
        <v>#VALUE!</v>
      </c>
      <c r="E123" s="3139"/>
      <c r="F123" s="3139"/>
      <c r="G123" s="3139"/>
      <c r="H123" s="3139"/>
      <c r="I123" s="3140"/>
    </row>
    <row r="124" spans="1:11" ht="18.75" customHeight="1">
      <c r="A124" s="3129" t="str">
        <f>IF(项目基本情况!B9="房地产市场价值","",MID(E109,3,LEN(E109)-2))</f>
        <v>抵押担保权已注销时的房地产抵押价值</v>
      </c>
      <c r="B124" s="3129"/>
      <c r="C124" s="3129"/>
      <c r="D124" s="3166">
        <f ca="1">H109</f>
        <v>91004</v>
      </c>
      <c r="E124" s="3167"/>
      <c r="F124" s="3167"/>
      <c r="G124" s="3167"/>
      <c r="H124" s="3167"/>
      <c r="I124" s="3168"/>
    </row>
    <row r="125" spans="1:11" ht="18.75" customHeight="1">
      <c r="A125" s="3033" t="s">
        <v>2312</v>
      </c>
      <c r="B125" s="3033"/>
      <c r="C125" s="3033"/>
      <c r="D125" s="3138" t="str">
        <f ca="1">NUMBERSTRING(INT(D124*10000),2)&amp;"元整"</f>
        <v>玖亿壹仟零肆万元整</v>
      </c>
      <c r="E125" s="3139"/>
      <c r="F125" s="3139"/>
      <c r="G125" s="3139"/>
      <c r="H125" s="3139"/>
      <c r="I125" s="3140"/>
      <c r="K125" s="794">
        <f ca="1">ROUND(D124/'数据-汇总表'!E3*10000,0)</f>
        <v>6695</v>
      </c>
    </row>
    <row r="126" spans="1:11" ht="18.75" customHeight="1">
      <c r="A126" s="3129" t="str">
        <f>IF(项目基本情况!B9="房地产市场价值","",MID(E111,3,LEN(E111)-2))</f>
        <v/>
      </c>
      <c r="B126" s="3129"/>
      <c r="C126" s="3129"/>
      <c r="D126" s="3166" t="str">
        <f>H111</f>
        <v>——</v>
      </c>
      <c r="E126" s="3167"/>
      <c r="F126" s="3167"/>
      <c r="G126" s="3167"/>
      <c r="H126" s="3167"/>
      <c r="I126" s="3168"/>
    </row>
    <row r="127" spans="1:11" ht="18.75" customHeight="1">
      <c r="A127" s="3033" t="s">
        <v>2312</v>
      </c>
      <c r="B127" s="3033"/>
      <c r="C127" s="3033"/>
      <c r="D127" s="3138" t="e">
        <f>NUMBERSTRING(INT(D126*10000),2)&amp;"元整"</f>
        <v>#VALUE!</v>
      </c>
      <c r="E127" s="3139"/>
      <c r="F127" s="3139"/>
      <c r="G127" s="3139"/>
      <c r="H127" s="3139"/>
      <c r="I127" s="3140"/>
    </row>
    <row r="128" spans="1:11" ht="21.75" customHeight="1">
      <c r="A128" s="3148" t="s">
        <v>2313</v>
      </c>
      <c r="B128" s="3148"/>
      <c r="C128" s="3148"/>
      <c r="D128" s="3148"/>
      <c r="E128" s="3148"/>
      <c r="F128" s="3148"/>
      <c r="G128" s="3148"/>
      <c r="H128" s="3148"/>
      <c r="I128" s="3148"/>
    </row>
    <row r="129" spans="1:35" ht="21.75" customHeight="1">
      <c r="A129" s="2517" t="s">
        <v>2314</v>
      </c>
      <c r="B129" s="2518"/>
      <c r="C129" s="2519" t="s">
        <v>2315</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2316</v>
      </c>
      <c r="G135" s="2534"/>
      <c r="H135" s="2534"/>
      <c r="I135" s="2535" t="s">
        <v>2317</v>
      </c>
    </row>
    <row r="136" spans="1:35" ht="21.75" customHeight="1">
      <c r="A136" s="794"/>
      <c r="B136" s="2536"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2319</v>
      </c>
    </row>
    <row r="139" spans="1:35" ht="21.75" customHeight="1">
      <c r="A139" s="794"/>
      <c r="B139" s="2536" t="s">
        <v>2320</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2319</v>
      </c>
    </row>
    <row r="142" spans="1:35" ht="21.75" customHeight="1">
      <c r="A142" s="794"/>
      <c r="B142" s="2536"/>
      <c r="C142" s="2537"/>
      <c r="D142" s="2538"/>
      <c r="E142" s="2538"/>
      <c r="F142" s="2330"/>
      <c r="G142" s="794"/>
      <c r="H142" s="794"/>
      <c r="I142" s="794"/>
    </row>
    <row r="143" spans="1:35" s="138" customFormat="1" ht="21.75" customHeight="1">
      <c r="A143" s="794"/>
      <c r="B143" s="2536"/>
      <c r="C143" s="2537"/>
      <c r="D143" s="2538"/>
      <c r="E143" s="2538"/>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G1"/>
  <sheetViews>
    <sheetView workbookViewId="0">
      <selection activeCell="I16" sqref="I16"/>
    </sheetView>
  </sheetViews>
  <sheetFormatPr defaultColWidth="11" defaultRowHeight="13.5"/>
  <cols>
    <col min="7" max="7" width="11.625" bestFit="1" customWidth="1"/>
  </cols>
  <sheetData>
    <row r="1" spans="1:7">
      <c r="A1" t="s">
        <v>3412</v>
      </c>
      <c r="F1" s="2970">
        <f>113600*10000/'数据-汇总表'!D3/3.5</f>
        <v>10770.179723581821</v>
      </c>
      <c r="G1" s="2970">
        <f>46064.07*10000/'数据-汇总表'!D3/3.5</f>
        <v>4367.2386681307535</v>
      </c>
    </row>
  </sheetData>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E40" sqref="E40"/>
    </sheetView>
  </sheetViews>
  <sheetFormatPr defaultColWidth="8.375" defaultRowHeight="12.75"/>
  <cols>
    <col min="1" max="1" width="10.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3"/>
      <c r="C1" s="241"/>
      <c r="D1" s="241"/>
      <c r="E1" s="241"/>
      <c r="F1" s="241"/>
      <c r="G1" s="1377">
        <f>MATCH(B1,'数据-取费表'!A6:A16,0)+5</f>
        <v>11</v>
      </c>
    </row>
    <row r="2" spans="1:9" s="243" customFormat="1" ht="18" customHeight="1">
      <c r="A2" s="244" t="s">
        <v>2322</v>
      </c>
      <c r="B2" s="245">
        <f ca="1">IF(D2="——",C52,C52-E2)</f>
        <v>82544</v>
      </c>
      <c r="C2" s="242" t="s">
        <v>2323</v>
      </c>
      <c r="D2" s="2539" t="s">
        <v>70</v>
      </c>
      <c r="E2" s="1437" t="e">
        <f ca="1">SUMIF(INDIRECT("'"&amp;G2&amp;"'"&amp;"!A:A"),"承租人权益价值",INDIRECT("'"&amp;G2&amp;"'"&amp;"!c:c"))</f>
        <v>#REF!</v>
      </c>
      <c r="F2" s="2540" t="s">
        <v>2323</v>
      </c>
      <c r="G2" s="2541"/>
    </row>
    <row r="3" spans="1:9" s="243" customFormat="1" ht="18" customHeight="1" thickBot="1">
      <c r="A3" s="246" t="s">
        <v>2324</v>
      </c>
      <c r="B3" s="247">
        <f ca="1">ROUND(B2*10000/(IF(B1="",'数据-汇总表'!E3,INDIRECT("'数据-取费表'!k"&amp;$G$1))),0)</f>
        <v>6073</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67667</v>
      </c>
      <c r="D5" s="254" t="s">
        <v>2329</v>
      </c>
      <c r="E5" s="255" t="s">
        <v>2330</v>
      </c>
      <c r="F5" s="255" t="s">
        <v>2331</v>
      </c>
      <c r="G5" s="256"/>
    </row>
    <row r="6" spans="1:9" s="257" customFormat="1" ht="13.5" customHeight="1">
      <c r="A6" s="947" t="s">
        <v>2332</v>
      </c>
      <c r="B6" s="258" t="s">
        <v>2333</v>
      </c>
      <c r="C6" s="259">
        <f>'土地比较法-住宅、综合'!B2</f>
        <v>63354</v>
      </c>
      <c r="D6" s="260"/>
      <c r="E6" s="261"/>
      <c r="F6" s="261"/>
      <c r="G6" s="262"/>
    </row>
    <row r="7" spans="1:9" s="257" customFormat="1" ht="13.5" customHeight="1">
      <c r="A7" s="947" t="s">
        <v>2334</v>
      </c>
      <c r="B7" s="258" t="s">
        <v>2335</v>
      </c>
      <c r="C7" s="263">
        <f>ROUND(C6*F7,0)</f>
        <v>1932</v>
      </c>
      <c r="D7" s="263"/>
      <c r="E7" s="261"/>
      <c r="F7" s="264">
        <f>'数据-取费表'!B48+'数据-取费表'!B49</f>
        <v>3.0499999999999999E-2</v>
      </c>
      <c r="G7" s="262"/>
    </row>
    <row r="8" spans="1:9" s="266" customFormat="1">
      <c r="A8" s="947" t="s">
        <v>2336</v>
      </c>
      <c r="B8" s="258" t="s">
        <v>2337</v>
      </c>
      <c r="C8" s="263">
        <f>IF(G8="已包含在土地购买价格中","0",IF(B1="",'数据-取费表'!B29,IF(G9="全部缴纳",C9+C10,H9)))</f>
        <v>2381</v>
      </c>
      <c r="D8" s="265"/>
      <c r="E8" s="263"/>
      <c r="F8" s="264"/>
      <c r="G8" s="2542" t="s">
        <v>3380</v>
      </c>
    </row>
    <row r="9" spans="1:9" s="257" customFormat="1" ht="13.5" customHeight="1">
      <c r="A9" s="948" t="s">
        <v>800</v>
      </c>
      <c r="B9" s="267" t="s">
        <v>2338</v>
      </c>
      <c r="C9" s="268">
        <f ca="1">ROUND(D9*E9/10000,0)</f>
        <v>1982</v>
      </c>
      <c r="D9" s="1030">
        <f ca="1">IF(B1="",'数据-汇总表'!E5,IF(INDIRECT("'数据-取费表'!c"&amp;$G$1)="住宅",INDIRECT("'数据-取费表'!k"&amp;$G$1),0))</f>
        <v>90096.790000000008</v>
      </c>
      <c r="E9" s="268">
        <f>'数据-取费表'!B27</f>
        <v>220</v>
      </c>
      <c r="F9" s="264"/>
      <c r="G9" s="2543"/>
      <c r="H9" s="2984"/>
      <c r="I9" s="2544" t="s">
        <v>2339</v>
      </c>
    </row>
    <row r="10" spans="1:9" s="257" customFormat="1" ht="13.5" customHeight="1">
      <c r="A10" s="948" t="s">
        <v>801</v>
      </c>
      <c r="B10" s="267" t="s">
        <v>2340</v>
      </c>
      <c r="C10" s="268">
        <f ca="1">ROUND(D10*E10/10000,0)</f>
        <v>1008</v>
      </c>
      <c r="D10" s="1030">
        <f ca="1">IF(B1="",'数据-汇总表'!E6,IF(INDIRECT("'数据-取费表'!c"&amp;$G$1)="住宅",INDIRECT("'数据-取费表'!s"&amp;$G$1),INDIRECT("'数据-取费表'!k"&amp;$G$1)+INDIRECT("'数据-取费表'!s"&amp;$G$1)))</f>
        <v>45832.389999999985</v>
      </c>
      <c r="E10" s="268">
        <f>'数据-取费表'!B28</f>
        <v>220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135929.18</v>
      </c>
      <c r="E19" s="254">
        <f>'数据-取费表'!B31</f>
        <v>200</v>
      </c>
      <c r="F19" s="274"/>
      <c r="G19" s="2542" t="s">
        <v>3381</v>
      </c>
    </row>
    <row r="20" spans="1:7" s="257" customFormat="1" ht="13.5" customHeight="1">
      <c r="A20" s="298" t="s">
        <v>2353</v>
      </c>
      <c r="B20" s="253" t="s">
        <v>2354</v>
      </c>
      <c r="C20" s="275">
        <f>ROUND((C5+C19)*F20,0)</f>
        <v>1353</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2">
        <f ca="1">ROUND(SUM(C23:C25),0)</f>
        <v>2584</v>
      </c>
      <c r="D22" s="278">
        <f ca="1">C26</f>
        <v>4.0000000000000002E-4</v>
      </c>
      <c r="E22" s="279" t="s">
        <v>2358</v>
      </c>
      <c r="F22" s="280">
        <f ca="1">'数据-取费表'!B40</f>
        <v>4.7500000000000001E-2</v>
      </c>
      <c r="G22" s="277" t="str">
        <f>IF('数据-取费表'!B22&lt;=1,"单利计息","复利计息")</f>
        <v>复利计息</v>
      </c>
    </row>
    <row r="23" spans="1:7" s="257" customFormat="1" ht="13.5" customHeight="1">
      <c r="A23" s="949" t="s">
        <v>2362</v>
      </c>
      <c r="B23" s="258" t="s">
        <v>2363</v>
      </c>
      <c r="C23" s="1353">
        <f ca="1">ROUND(IF('数据-取费表'!B22&lt;=1,C5*F22*'数据-取费表'!B23,C5*(POWER((1+F22),'数据-取费表'!B23)-1)),0)</f>
        <v>2559</v>
      </c>
      <c r="D23" s="281"/>
      <c r="E23" s="281"/>
      <c r="F23" s="282"/>
      <c r="G23" s="283" t="s">
        <v>2364</v>
      </c>
    </row>
    <row r="24" spans="1:7" s="257" customFormat="1" ht="13.5" customHeight="1">
      <c r="A24" s="949"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49" t="s">
        <v>2368</v>
      </c>
      <c r="B25" s="258" t="s">
        <v>2369</v>
      </c>
      <c r="C25" s="1353">
        <f ca="1">ROUND(IF('数据-取费表'!B22&lt;=1,C20*F22*'数据-取费表'!B23/2,C20*(POWER((1+F22),'数据-取费表'!B23/2)-1)),0)</f>
        <v>25</v>
      </c>
      <c r="D25" s="281"/>
      <c r="E25" s="284"/>
      <c r="F25" s="282"/>
      <c r="G25" s="285" t="s">
        <v>2370</v>
      </c>
    </row>
    <row r="26" spans="1:7" s="257" customFormat="1">
      <c r="A26" s="949" t="s">
        <v>795</v>
      </c>
      <c r="B26" s="258" t="s">
        <v>2371</v>
      </c>
      <c r="C26" s="281">
        <f ca="1">ROUND(IF('数据-取费表'!B22&lt;=1,F21*F22*'数据-取费表'!B23/2,F21*(POWER((1+F22),'数据-取费表'!B23/2)-1)),4)</f>
        <v>4.0000000000000002E-4</v>
      </c>
      <c r="D26" s="281"/>
      <c r="E26" s="284"/>
      <c r="F26" s="282"/>
      <c r="G26" s="286"/>
    </row>
    <row r="27" spans="1:7" s="257" customFormat="1" ht="24.75">
      <c r="A27" s="298" t="s">
        <v>2372</v>
      </c>
      <c r="B27" s="287" t="s">
        <v>2373</v>
      </c>
      <c r="C27" s="288">
        <f ca="1">C28</f>
        <v>2871</v>
      </c>
      <c r="D27" s="278">
        <f ca="1">C29</f>
        <v>8.0000000000000004E-4</v>
      </c>
      <c r="E27" s="279" t="s">
        <v>2374</v>
      </c>
      <c r="F27" s="289">
        <f ca="1">IF(B1="",'数据-取费表'!Q16,INDIRECT("'数据-取费表'!q"&amp;$G$1))</f>
        <v>0.13</v>
      </c>
      <c r="G27" s="290" t="s">
        <v>2375</v>
      </c>
    </row>
    <row r="28" spans="1:7" s="257" customFormat="1" ht="13.5" customHeight="1">
      <c r="A28" s="949" t="s">
        <v>791</v>
      </c>
      <c r="B28" s="291" t="s">
        <v>2376</v>
      </c>
      <c r="C28" s="292">
        <f ca="1">ROUND((C5+C19+C20)*F27*'数据-取费表'!B21/'数据-取费表'!B20,0)</f>
        <v>2871</v>
      </c>
      <c r="D28" s="278"/>
      <c r="E28" s="279"/>
      <c r="F28" s="289"/>
      <c r="G28" s="290"/>
    </row>
    <row r="29" spans="1:7" s="257" customFormat="1" ht="13.5" customHeight="1">
      <c r="A29" s="949" t="s">
        <v>792</v>
      </c>
      <c r="B29" s="291" t="s">
        <v>2377</v>
      </c>
      <c r="C29" s="281">
        <f ca="1">ROUND(C21*F27*'数据-取费表'!B21/'数据-取费表'!B20,4)</f>
        <v>8.0000000000000004E-4</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80470</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1634</v>
      </c>
      <c r="D33" s="275"/>
      <c r="E33" s="255"/>
      <c r="F33" s="284"/>
      <c r="G33" s="277"/>
    </row>
    <row r="34" spans="1:7" s="301" customFormat="1" ht="13.5" customHeight="1">
      <c r="A34" s="949" t="s">
        <v>791</v>
      </c>
      <c r="B34" s="258" t="s">
        <v>2385</v>
      </c>
      <c r="C34" s="263">
        <f ca="1">IF(B1="",IF(F34=100%,'数据-取费表'!M16,'数据-取费表'!O16),IF(F34=100%,INDIRECT("'数据-取费表'!m"&amp;$G$1)+INDIRECT("'数据-取费表'!t"&amp;$G$1),INDIRECT("'数据-取费表'!o"&amp;$G$1)+INDIRECT("'数据-取费表'!aq"&amp;$G$1)))</f>
        <v>1429</v>
      </c>
      <c r="D34" s="260"/>
      <c r="E34" s="263"/>
      <c r="F34" s="300">
        <f ca="1">IF('数据-取费表'!B24=0,1,IF(B1="",'数据-取费表'!N16,INDIRECT("'数据-取费表'!n"&amp;$G$1)))</f>
        <v>3.9E-2</v>
      </c>
      <c r="G34" s="262" t="s">
        <v>2386</v>
      </c>
    </row>
    <row r="35" spans="1:7" ht="13.5" customHeight="1">
      <c r="A35" s="949" t="s">
        <v>796</v>
      </c>
      <c r="B35" s="258" t="s">
        <v>2387</v>
      </c>
      <c r="C35" s="263">
        <f ca="1">ROUND(C34*F35,0)</f>
        <v>43</v>
      </c>
      <c r="D35" s="263"/>
      <c r="E35" s="263"/>
      <c r="F35" s="302">
        <f>'数据-取费表'!B33</f>
        <v>0.03</v>
      </c>
      <c r="G35" s="262" t="s">
        <v>2388</v>
      </c>
    </row>
    <row r="36" spans="1:7" ht="24">
      <c r="A36" s="949" t="s">
        <v>797</v>
      </c>
      <c r="B36" s="258" t="s">
        <v>2389</v>
      </c>
      <c r="C36" s="263">
        <f ca="1">ROUND(IF(B1="",SUMIF('数据-取费表'!C:C,"住宅",IF(F34=100%,'数据-取费表'!M:M,'数据-取费表'!O:O))*F36,IF(INDIRECT("'数据-取费表'!c"&amp;$G$1)="住宅",IF(F34=100%,INDIRECT("'数据-取费表'!m"&amp;$G$1)*F36,INDIRECT("'数据-取费表'!o"&amp;$G$1)*F36),0)),0)</f>
        <v>35</v>
      </c>
      <c r="D36" s="263"/>
      <c r="E36" s="263"/>
      <c r="F36" s="302">
        <f>'数据-取费表'!B34</f>
        <v>0.03</v>
      </c>
      <c r="G36" s="303" t="s">
        <v>2390</v>
      </c>
    </row>
    <row r="37" spans="1:7" s="301" customFormat="1" ht="13.5" customHeight="1">
      <c r="A37" s="949" t="s">
        <v>798</v>
      </c>
      <c r="B37" s="258" t="s">
        <v>2391</v>
      </c>
      <c r="C37" s="292">
        <f ca="1">ROUND(E37*D37*F34/10000,0)</f>
        <v>106</v>
      </c>
      <c r="D37" s="260">
        <f ca="1">D19</f>
        <v>135929.18</v>
      </c>
      <c r="E37" s="292">
        <f>'数据-取费表'!B35</f>
        <v>200</v>
      </c>
      <c r="F37" s="302"/>
      <c r="G37" s="304" t="s">
        <v>2392</v>
      </c>
    </row>
    <row r="38" spans="1:7" ht="13.5" customHeight="1">
      <c r="A38" s="949" t="s">
        <v>799</v>
      </c>
      <c r="B38" s="258" t="s">
        <v>2393</v>
      </c>
      <c r="C38" s="263">
        <f ca="1">ROUND(C34*F38,0)</f>
        <v>21</v>
      </c>
      <c r="D38" s="263"/>
      <c r="E38" s="263"/>
      <c r="F38" s="302">
        <f>'数据-取费表'!B36</f>
        <v>1.4999999999999999E-2</v>
      </c>
      <c r="G38" s="262" t="s">
        <v>2388</v>
      </c>
    </row>
    <row r="39" spans="1:7" s="257" customFormat="1" ht="13.5" customHeight="1">
      <c r="A39" s="298" t="s">
        <v>2394</v>
      </c>
      <c r="B39" s="253" t="s">
        <v>2395</v>
      </c>
      <c r="C39" s="275">
        <f ca="1">ROUND(C33*F20,0)</f>
        <v>33</v>
      </c>
      <c r="D39" s="275"/>
      <c r="E39" s="275"/>
      <c r="F39" s="276"/>
      <c r="G39" s="277" t="s">
        <v>2396</v>
      </c>
    </row>
    <row r="40" spans="1:7" s="257" customFormat="1" ht="13.5" customHeight="1">
      <c r="A40" s="298" t="s">
        <v>2397</v>
      </c>
      <c r="B40" s="253" t="s">
        <v>2398</v>
      </c>
      <c r="C40" s="1724">
        <f>F21</f>
        <v>0.02</v>
      </c>
      <c r="D40" s="279" t="s">
        <v>2399</v>
      </c>
      <c r="E40" s="275"/>
      <c r="F40" s="276"/>
      <c r="G40" s="277" t="s">
        <v>2400</v>
      </c>
    </row>
    <row r="41" spans="1:7" s="257" customFormat="1" ht="13.5" customHeight="1">
      <c r="A41" s="298" t="s">
        <v>2401</v>
      </c>
      <c r="B41" s="253" t="s">
        <v>2402</v>
      </c>
      <c r="C41" s="275">
        <f ca="1">ROUND(SUM(C42:C43),0)</f>
        <v>32</v>
      </c>
      <c r="D41" s="278">
        <f ca="1">C44</f>
        <v>4.0000000000000002E-4</v>
      </c>
      <c r="E41" s="279" t="s">
        <v>2399</v>
      </c>
      <c r="F41" s="280"/>
      <c r="G41" s="277" t="str">
        <f>IF('数据-取费表'!B22&lt;=1,"单利计息","复利计息")</f>
        <v>复利计息</v>
      </c>
    </row>
    <row r="42" spans="1:7" ht="13.5" customHeight="1">
      <c r="A42" s="949" t="s">
        <v>791</v>
      </c>
      <c r="B42" s="258" t="s">
        <v>2403</v>
      </c>
      <c r="C42" s="281">
        <f ca="1">ROUND(IF('数据-取费表'!B22&lt;=1,C33*F22*'数据-取费表'!B21/2,C33*(POWER((1+F22),'数据-取费表'!B21/2)-1)),0)</f>
        <v>31</v>
      </c>
      <c r="D42" s="281"/>
      <c r="E42" s="281"/>
      <c r="F42" s="282"/>
      <c r="G42" s="3180" t="s">
        <v>2404</v>
      </c>
    </row>
    <row r="43" spans="1:7" ht="13.5" customHeight="1">
      <c r="A43" s="949" t="s">
        <v>792</v>
      </c>
      <c r="B43" s="258" t="s">
        <v>2405</v>
      </c>
      <c r="C43" s="281">
        <f ca="1">ROUND(IF('数据-取费表'!B22&lt;=1,C39*F22*'数据-取费表'!B21/2,C39*(POWER((1+F22),'数据-取费表'!B21/2)-1)),0)</f>
        <v>1</v>
      </c>
      <c r="D43" s="281"/>
      <c r="E43" s="281"/>
      <c r="F43" s="282"/>
      <c r="G43" s="3181"/>
    </row>
    <row r="44" spans="1:7" ht="13.5" customHeight="1">
      <c r="A44" s="949" t="s">
        <v>793</v>
      </c>
      <c r="B44" s="258" t="s">
        <v>2406</v>
      </c>
      <c r="C44" s="281">
        <f ca="1">ROUND(IF('数据-取费表'!B22&lt;=1,C40*F22*'数据-取费表'!B21/2,C40*(POWER((1+F22),'数据-取费表'!B21/2)-1)),4)</f>
        <v>4.0000000000000002E-4</v>
      </c>
      <c r="D44" s="281"/>
      <c r="E44" s="281"/>
      <c r="F44" s="282"/>
      <c r="G44" s="3182"/>
    </row>
    <row r="45" spans="1:7" s="257" customFormat="1" ht="13.5" customHeight="1">
      <c r="A45" s="298" t="s">
        <v>2407</v>
      </c>
      <c r="B45" s="287" t="s">
        <v>2373</v>
      </c>
      <c r="C45" s="288">
        <f ca="1">C46</f>
        <v>217</v>
      </c>
      <c r="D45" s="278">
        <f ca="1">C47</f>
        <v>2.5999999999999999E-3</v>
      </c>
      <c r="E45" s="279" t="s">
        <v>2399</v>
      </c>
      <c r="F45" s="289"/>
      <c r="G45" s="290" t="s">
        <v>2408</v>
      </c>
    </row>
    <row r="46" spans="1:7" s="257" customFormat="1" ht="13.5" customHeight="1">
      <c r="A46" s="949" t="s">
        <v>791</v>
      </c>
      <c r="B46" s="291" t="s">
        <v>2409</v>
      </c>
      <c r="C46" s="292">
        <f ca="1">ROUND((C33+C39)*F27,0)</f>
        <v>217</v>
      </c>
      <c r="D46" s="306"/>
      <c r="E46" s="279"/>
      <c r="F46" s="289"/>
      <c r="G46" s="290"/>
    </row>
    <row r="47" spans="1:7" s="257" customFormat="1" ht="13.5" customHeight="1">
      <c r="A47" s="949" t="s">
        <v>792</v>
      </c>
      <c r="B47" s="291" t="s">
        <v>2410</v>
      </c>
      <c r="C47" s="281">
        <f ca="1">ROUND(C40*F27,4)</f>
        <v>2.5999999999999999E-3</v>
      </c>
      <c r="D47" s="306"/>
      <c r="E47" s="279"/>
      <c r="F47" s="289"/>
      <c r="G47" s="290"/>
    </row>
    <row r="48" spans="1:7" s="257" customFormat="1" ht="13.5" customHeight="1">
      <c r="A48" s="298" t="s">
        <v>2372</v>
      </c>
      <c r="B48" s="253" t="s">
        <v>2411</v>
      </c>
      <c r="C48" s="1724">
        <f>ROUND(F30/(1+'数据-取费表'!C42),4)</f>
        <v>5.33E-2</v>
      </c>
      <c r="D48" s="279" t="s">
        <v>2399</v>
      </c>
      <c r="E48" s="275"/>
      <c r="F48" s="280"/>
      <c r="G48" s="277" t="s">
        <v>2412</v>
      </c>
    </row>
    <row r="49" spans="1:7" ht="16.5" customHeight="1">
      <c r="A49" s="298" t="s">
        <v>2378</v>
      </c>
      <c r="B49" s="253" t="s">
        <v>2413</v>
      </c>
      <c r="C49" s="275">
        <f ca="1">ROUND((C33+C39+C41+C45)/(1-C40-D41-D45-C48),0)</f>
        <v>2074</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2074</v>
      </c>
      <c r="D51" s="275"/>
      <c r="E51" s="275"/>
      <c r="F51" s="307"/>
      <c r="G51" s="277" t="s">
        <v>2420</v>
      </c>
    </row>
    <row r="52" spans="1:7" s="251" customFormat="1" ht="16.5" thickBot="1">
      <c r="A52" s="308" t="s">
        <v>2421</v>
      </c>
      <c r="B52" s="309"/>
      <c r="C52" s="310">
        <f ca="1">C31+C51</f>
        <v>82544</v>
      </c>
      <c r="D52" s="309"/>
      <c r="E52" s="309"/>
      <c r="F52" s="309"/>
      <c r="G52" s="311"/>
    </row>
    <row r="55" spans="1:7" ht="15">
      <c r="B55" s="313" t="s">
        <v>2422</v>
      </c>
      <c r="C55" s="314"/>
    </row>
    <row r="56" spans="1:7">
      <c r="B56" s="316" t="s">
        <v>1513</v>
      </c>
      <c r="C56" s="318">
        <f ca="1">1-C57</f>
        <v>0.97499999999999998</v>
      </c>
    </row>
    <row r="57" spans="1:7">
      <c r="B57" s="316" t="s">
        <v>1514</v>
      </c>
      <c r="C57" s="317">
        <f ca="1">ROUND(C51/C52,3)</f>
        <v>2.5000000000000001E-2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8" width="10.625" style="294" customWidth="1"/>
    <col min="9" max="254" width="9" style="294" customWidth="1"/>
    <col min="255" max="16384" width="8.375" style="294"/>
  </cols>
  <sheetData>
    <row r="1" spans="1:8" s="243" customFormat="1" ht="20.25">
      <c r="A1" s="239" t="s">
        <v>2321</v>
      </c>
      <c r="B1" s="1933"/>
      <c r="C1" s="2545" t="s">
        <v>2423</v>
      </c>
      <c r="D1" s="241"/>
      <c r="E1" s="241"/>
      <c r="F1" s="241"/>
      <c r="G1" s="1377">
        <f>MATCH(B1,'数据-取费表'!A6:A16,0)+5</f>
        <v>11</v>
      </c>
      <c r="H1" s="1280" t="str">
        <f>IF(ISERROR(FIND("住宅",B1)),"非住宅","住宅")</f>
        <v>非住宅</v>
      </c>
    </row>
    <row r="2" spans="1:8" s="243" customFormat="1" ht="18" customHeight="1">
      <c r="A2" s="244" t="s">
        <v>2322</v>
      </c>
      <c r="B2" s="245">
        <f ca="1">ROUND(IF(D2="——",C52/10000,C52/10000-E2),0)</f>
        <v>63044</v>
      </c>
      <c r="C2" s="242" t="s">
        <v>2323</v>
      </c>
      <c r="D2" s="2539" t="s">
        <v>70</v>
      </c>
      <c r="E2" s="1437" t="e">
        <f ca="1">SUMIF(INDIRECT("'"&amp;G2&amp;"'"&amp;"!A:A"),"承租人权益价值",INDIRECT("'"&amp;G2&amp;"'"&amp;"!c:c"))</f>
        <v>#REF!</v>
      </c>
      <c r="F2" s="2540" t="s">
        <v>2323</v>
      </c>
      <c r="G2" s="2541"/>
    </row>
    <row r="3" spans="1:8" s="243" customFormat="1" ht="18" customHeight="1" thickBot="1">
      <c r="A3" s="246" t="s">
        <v>2324</v>
      </c>
      <c r="B3" s="247">
        <f ca="1">ROUND(B2*10000/(IF(B1="",'数据-汇总表'!E3,INDIRECT("'数据-取费表'!k"&amp;$G$1))),0)</f>
        <v>4638</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29904420</v>
      </c>
      <c r="D5" s="254" t="s">
        <v>2329</v>
      </c>
      <c r="E5" s="255" t="s">
        <v>2330</v>
      </c>
      <c r="F5" s="255" t="s">
        <v>2331</v>
      </c>
      <c r="G5" s="256"/>
    </row>
    <row r="6" spans="1:8" s="257" customFormat="1" ht="13.5" customHeight="1">
      <c r="A6" s="947" t="s">
        <v>2332</v>
      </c>
      <c r="B6" s="258" t="s">
        <v>2333</v>
      </c>
      <c r="C6" s="259"/>
      <c r="D6" s="260"/>
      <c r="E6" s="261"/>
      <c r="F6" s="261"/>
      <c r="G6" s="262"/>
    </row>
    <row r="7" spans="1:8" s="257" customFormat="1" ht="13.5" customHeight="1">
      <c r="A7" s="947" t="s">
        <v>2334</v>
      </c>
      <c r="B7" s="258" t="s">
        <v>2335</v>
      </c>
      <c r="C7" s="263">
        <f>ROUND(C6*F7,0)</f>
        <v>0</v>
      </c>
      <c r="D7" s="263"/>
      <c r="E7" s="261"/>
      <c r="F7" s="264">
        <f>'数据-取费表'!B48+'数据-取费表'!B49</f>
        <v>3.0499999999999999E-2</v>
      </c>
      <c r="G7" s="262"/>
    </row>
    <row r="8" spans="1:8" s="266" customFormat="1">
      <c r="A8" s="947" t="s">
        <v>2336</v>
      </c>
      <c r="B8" s="258" t="s">
        <v>2337</v>
      </c>
      <c r="C8" s="263">
        <f ca="1">IF(G8="已包含在土地购买价格中",0,C9+C10)</f>
        <v>29904420</v>
      </c>
      <c r="D8" s="265"/>
      <c r="E8" s="263"/>
      <c r="F8" s="264"/>
      <c r="G8" s="2542"/>
    </row>
    <row r="9" spans="1:8" s="257" customFormat="1" ht="13.5" customHeight="1">
      <c r="A9" s="948" t="s">
        <v>800</v>
      </c>
      <c r="B9" s="267" t="s">
        <v>2338</v>
      </c>
      <c r="C9" s="268">
        <f ca="1">ROUND(D9*E9,0)</f>
        <v>19821294</v>
      </c>
      <c r="D9" s="1030">
        <f ca="1">IF(B1="",'数据-汇总表'!E5,IF(INDIRECT("'数据-取费表'!c"&amp;$G$1)="住宅",INDIRECT("'数据-取费表'!k"&amp;$G$1),0))</f>
        <v>90096.790000000008</v>
      </c>
      <c r="E9" s="268">
        <f>'数据-取费表'!B27</f>
        <v>220</v>
      </c>
      <c r="F9" s="264"/>
      <c r="G9" s="269"/>
    </row>
    <row r="10" spans="1:8" s="257" customFormat="1" ht="13.5" customHeight="1">
      <c r="A10" s="948" t="s">
        <v>801</v>
      </c>
      <c r="B10" s="267" t="s">
        <v>2340</v>
      </c>
      <c r="C10" s="268">
        <f ca="1">ROUND(D10*E10,0)</f>
        <v>10083126</v>
      </c>
      <c r="D10" s="1030">
        <f ca="1">IF(B1="",'数据-汇总表'!E6,IF(INDIRECT("'数据-取费表'!c"&amp;$G$1)="住宅",INDIRECT("'数据-取费表'!s"&amp;$G$1),INDIRECT("'数据-取费表'!k"&amp;$G$1)+INDIRECT("'数据-取费表'!s"&amp;$G$1)))</f>
        <v>45832.389999999985</v>
      </c>
      <c r="E10" s="268">
        <f>'数据-取费表'!B28</f>
        <v>220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27185836</v>
      </c>
      <c r="D19" s="1034">
        <f ca="1">D9+D10</f>
        <v>135929.18</v>
      </c>
      <c r="E19" s="254">
        <f>'数据-取费表'!B31</f>
        <v>200</v>
      </c>
      <c r="F19" s="274"/>
      <c r="G19" s="2542"/>
    </row>
    <row r="20" spans="1:7" s="257" customFormat="1" ht="13.5" customHeight="1">
      <c r="A20" s="298" t="s">
        <v>2434</v>
      </c>
      <c r="B20" s="253" t="s">
        <v>2435</v>
      </c>
      <c r="C20" s="275">
        <f ca="1">ROUND((C5+C19)*F20,0)</f>
        <v>1141805</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8">
        <f ca="1">ROUND(SUM(C23:C25),0)</f>
        <v>7091080</v>
      </c>
      <c r="D22" s="278">
        <f ca="1">C26</f>
        <v>1.1999999999999999E-3</v>
      </c>
      <c r="E22" s="279" t="s">
        <v>2439</v>
      </c>
      <c r="F22" s="280">
        <f ca="1">'数据-取费表'!B40</f>
        <v>4.7500000000000001E-2</v>
      </c>
      <c r="G22" s="277" t="str">
        <f>IF('数据-取费表'!B22&lt;=1,"单利计息","复利计息")</f>
        <v>复利计息</v>
      </c>
    </row>
    <row r="23" spans="1:7" s="257" customFormat="1" ht="13.5" customHeight="1">
      <c r="A23" s="949" t="s">
        <v>2332</v>
      </c>
      <c r="B23" s="258" t="s">
        <v>2443</v>
      </c>
      <c r="C23" s="1379">
        <f ca="1">ROUND(IF('数据-取费表'!B22&lt;=1,C5*F22*'数据-取费表'!B22,C5*(POWER((1+F22),'数据-取费表'!B22)-1)),0)</f>
        <v>3678655</v>
      </c>
      <c r="D23" s="281"/>
      <c r="E23" s="281"/>
      <c r="F23" s="282"/>
      <c r="G23" s="283" t="s">
        <v>2444</v>
      </c>
    </row>
    <row r="24" spans="1:7" s="257" customFormat="1" ht="13.5" customHeight="1">
      <c r="A24" s="949" t="s">
        <v>2334</v>
      </c>
      <c r="B24" s="258" t="s">
        <v>2445</v>
      </c>
      <c r="C24" s="1379">
        <f ca="1">ROUND(IF('数据-取费表'!B22&lt;=1,C19*F22*('数据-取费表'!B19/2+'数据-取费表'!B20),C19*(POWER((1+F22),('数据-取费表'!B19/2+'数据-取费表'!B20))-1)),0)</f>
        <v>3344232</v>
      </c>
      <c r="D24" s="281"/>
      <c r="E24" s="281"/>
      <c r="F24" s="282"/>
      <c r="G24" s="283" t="s">
        <v>2446</v>
      </c>
    </row>
    <row r="25" spans="1:7" s="257" customFormat="1" ht="24">
      <c r="A25" s="949" t="s">
        <v>2336</v>
      </c>
      <c r="B25" s="258" t="s">
        <v>2447</v>
      </c>
      <c r="C25" s="1379">
        <f ca="1">ROUND(IF('数据-取费表'!B22&lt;=1,C20*F22*'数据-取费表'!B22/2,C20*(POWER((1+F22),'数据-取费表'!B22/2)-1)),0)</f>
        <v>68193</v>
      </c>
      <c r="D25" s="281"/>
      <c r="E25" s="284"/>
      <c r="F25" s="282"/>
      <c r="G25" s="285" t="s">
        <v>2448</v>
      </c>
    </row>
    <row r="26" spans="1:7" s="257" customFormat="1">
      <c r="A26" s="949" t="s">
        <v>795</v>
      </c>
      <c r="B26" s="258" t="s">
        <v>2371</v>
      </c>
      <c r="C26" s="281">
        <f ca="1">ROUND(IF('数据-取费表'!B22&lt;=1,F21*F22*'数据-取费表'!B22/2,F21*(POWER((1+F22),'数据-取费表'!B22/2)-1)),4)</f>
        <v>1.1999999999999999E-3</v>
      </c>
      <c r="D26" s="281"/>
      <c r="E26" s="284"/>
      <c r="F26" s="282"/>
      <c r="G26" s="286"/>
    </row>
    <row r="27" spans="1:7" s="257" customFormat="1" ht="24.75">
      <c r="A27" s="298" t="s">
        <v>2372</v>
      </c>
      <c r="B27" s="287" t="s">
        <v>2373</v>
      </c>
      <c r="C27" s="288">
        <f ca="1">C28</f>
        <v>7570168</v>
      </c>
      <c r="D27" s="278">
        <f ca="1">C29</f>
        <v>2.5999999999999999E-3</v>
      </c>
      <c r="E27" s="279" t="s">
        <v>2374</v>
      </c>
      <c r="F27" s="289">
        <f ca="1">IF(B1="",'数据-取费表'!Q16,INDIRECT("'数据-取费表'!q"&amp;$G$1))</f>
        <v>0.13</v>
      </c>
      <c r="G27" s="290" t="s">
        <v>2375</v>
      </c>
    </row>
    <row r="28" spans="1:7" s="257" customFormat="1" ht="13.5" customHeight="1">
      <c r="A28" s="949" t="s">
        <v>791</v>
      </c>
      <c r="B28" s="291" t="s">
        <v>2376</v>
      </c>
      <c r="C28" s="292">
        <f ca="1">ROUND((C5+C19+C20)*F27,0)</f>
        <v>7570168</v>
      </c>
      <c r="D28" s="278"/>
      <c r="E28" s="279"/>
      <c r="F28" s="289"/>
      <c r="G28" s="290"/>
    </row>
    <row r="29" spans="1:7" s="257" customFormat="1" ht="13.5" customHeight="1">
      <c r="A29" s="949" t="s">
        <v>792</v>
      </c>
      <c r="B29" s="291" t="s">
        <v>2377</v>
      </c>
      <c r="C29" s="281">
        <f ca="1">ROUND(C21*F27,4)</f>
        <v>2.5999999999999999E-3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78982890</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419389050</v>
      </c>
      <c r="D33" s="275"/>
      <c r="E33" s="255"/>
      <c r="F33" s="284"/>
      <c r="G33" s="277"/>
    </row>
    <row r="34" spans="1:7" s="301" customFormat="1" ht="13.5" customHeight="1">
      <c r="A34" s="949" t="s">
        <v>791</v>
      </c>
      <c r="B34" s="258" t="s">
        <v>2385</v>
      </c>
      <c r="C34" s="263">
        <f ca="1">ROUND(IF(B1="",SUMPRODUCT('数据-取费表'!K6:K14,'数据-取费表'!L6:L14),INDIRECT("'数据-取费表'!l"&amp;$G$1)*INDIRECT("'数据-取费表'!k"&amp;$G$1)+'数据-取费表'!L14*INDIRECT("'数据-取费表'!S"&amp;$G$1)),0)</f>
        <v>368589152</v>
      </c>
      <c r="D34" s="260"/>
      <c r="E34" s="263"/>
      <c r="F34" s="300"/>
      <c r="G34" s="262"/>
    </row>
    <row r="35" spans="1:7" ht="13.5" customHeight="1">
      <c r="A35" s="949" t="s">
        <v>796</v>
      </c>
      <c r="B35" s="258" t="s">
        <v>2387</v>
      </c>
      <c r="C35" s="263">
        <f ca="1">ROUND(C34*F35,0)</f>
        <v>11057675</v>
      </c>
      <c r="D35" s="263"/>
      <c r="E35" s="263"/>
      <c r="F35" s="302">
        <f>'数据-取费表'!B33</f>
        <v>0.03</v>
      </c>
      <c r="G35" s="262" t="s">
        <v>2388</v>
      </c>
    </row>
    <row r="36" spans="1:7" ht="24">
      <c r="A36" s="949" t="s">
        <v>797</v>
      </c>
      <c r="B36" s="258" t="s">
        <v>2389</v>
      </c>
      <c r="C36" s="263">
        <f ca="1">ROUND(IF(B1="",SUM('数据-取费表'!AP6:AP13)*F36,IF(INDIRECT("'数据-取费表'!c"&amp;$G$1)="住宅",INDIRECT("'数据-取费表'!k"&amp;$G$1)*INDIRECT("'数据-取费表'!l"&amp;$G$1)*F36,0)),0)</f>
        <v>7027550</v>
      </c>
      <c r="D36" s="263"/>
      <c r="E36" s="263"/>
      <c r="F36" s="302">
        <f>'数据-取费表'!B34</f>
        <v>0.03</v>
      </c>
      <c r="G36" s="303" t="s">
        <v>2390</v>
      </c>
    </row>
    <row r="37" spans="1:7" s="301" customFormat="1" ht="13.5" customHeight="1">
      <c r="A37" s="949" t="s">
        <v>798</v>
      </c>
      <c r="B37" s="258" t="s">
        <v>2391</v>
      </c>
      <c r="C37" s="292">
        <f ca="1">ROUND(E37*D37,0)</f>
        <v>27185836</v>
      </c>
      <c r="D37" s="260">
        <f ca="1">D19</f>
        <v>135929.18</v>
      </c>
      <c r="E37" s="292">
        <f>'数据-取费表'!B35</f>
        <v>200</v>
      </c>
      <c r="F37" s="302"/>
      <c r="G37" s="304"/>
    </row>
    <row r="38" spans="1:7" ht="13.5" customHeight="1">
      <c r="A38" s="949" t="s">
        <v>799</v>
      </c>
      <c r="B38" s="258" t="s">
        <v>2393</v>
      </c>
      <c r="C38" s="263">
        <f ca="1">ROUND(C34*F38,0)</f>
        <v>5528837</v>
      </c>
      <c r="D38" s="263"/>
      <c r="E38" s="263"/>
      <c r="F38" s="302">
        <f>'数据-取费表'!B36</f>
        <v>1.4999999999999999E-2</v>
      </c>
      <c r="G38" s="262" t="s">
        <v>2388</v>
      </c>
    </row>
    <row r="39" spans="1:7" s="257" customFormat="1" ht="13.5" customHeight="1">
      <c r="A39" s="298" t="s">
        <v>2394</v>
      </c>
      <c r="B39" s="253" t="s">
        <v>2395</v>
      </c>
      <c r="C39" s="275">
        <f ca="1">ROUND(C33*F20,0)</f>
        <v>8387781</v>
      </c>
      <c r="D39" s="275"/>
      <c r="E39" s="275"/>
      <c r="F39" s="276"/>
      <c r="G39" s="277" t="s">
        <v>2396</v>
      </c>
    </row>
    <row r="40" spans="1:7" s="257" customFormat="1" ht="13.5" customHeight="1">
      <c r="A40" s="298" t="s">
        <v>2397</v>
      </c>
      <c r="B40" s="253" t="s">
        <v>2398</v>
      </c>
      <c r="C40" s="1724">
        <f>F21</f>
        <v>0.02</v>
      </c>
      <c r="D40" s="279" t="s">
        <v>2399</v>
      </c>
      <c r="E40" s="275"/>
      <c r="F40" s="276"/>
      <c r="G40" s="277" t="s">
        <v>2400</v>
      </c>
    </row>
    <row r="41" spans="1:7" s="257" customFormat="1" ht="13.5" customHeight="1">
      <c r="A41" s="298" t="s">
        <v>2401</v>
      </c>
      <c r="B41" s="253" t="s">
        <v>2402</v>
      </c>
      <c r="C41" s="275">
        <f ca="1">ROUND(SUM(C42:C43),0)</f>
        <v>25548303</v>
      </c>
      <c r="D41" s="278">
        <f ca="1">C44</f>
        <v>1.1999999999999999E-3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ROUND(IF('数据-取费表'!B22&lt;=1,C33*F22*'数据-取费表'!B20/2,C33*(POWER((1+F22),'数据-取费表'!B20/2)-1)),0)</f>
        <v>25047356</v>
      </c>
      <c r="D42" s="281"/>
      <c r="E42" s="281"/>
      <c r="F42" s="282"/>
      <c r="G42" s="3180" t="s">
        <v>2451</v>
      </c>
    </row>
    <row r="43" spans="1:7" ht="13.5" customHeight="1">
      <c r="A43" s="949" t="s">
        <v>792</v>
      </c>
      <c r="B43" s="258" t="s">
        <v>2405</v>
      </c>
      <c r="C43" s="281">
        <f ca="1">ROUND(IF('数据-取费表'!B22&lt;=1,C39*F22*'数据-取费表'!B20/2,C39*(POWER((1+F22),'数据-取费表'!B20/2)-1)),0)</f>
        <v>500947</v>
      </c>
      <c r="D43" s="281"/>
      <c r="E43" s="281"/>
      <c r="F43" s="282"/>
      <c r="G43" s="3181"/>
    </row>
    <row r="44" spans="1:7" ht="13.5" customHeight="1">
      <c r="A44" s="949" t="s">
        <v>793</v>
      </c>
      <c r="B44" s="258" t="s">
        <v>2406</v>
      </c>
      <c r="C44" s="281">
        <f ca="1">ROUND(IF('数据-取费表'!B22&lt;=1,C40*F22*'数据-取费表'!B20/2,C40*(POWER((1+F22),'数据-取费表'!B20/2)-1)),4)</f>
        <v>1.1999999999999999E-3</v>
      </c>
      <c r="D44" s="281"/>
      <c r="E44" s="281"/>
      <c r="F44" s="282"/>
      <c r="G44" s="3182"/>
    </row>
    <row r="45" spans="1:7" s="257" customFormat="1" ht="13.5" customHeight="1">
      <c r="A45" s="298" t="s">
        <v>2407</v>
      </c>
      <c r="B45" s="287" t="s">
        <v>2373</v>
      </c>
      <c r="C45" s="288">
        <f ca="1">C46</f>
        <v>55610988</v>
      </c>
      <c r="D45" s="278">
        <f ca="1">C47</f>
        <v>2.5999999999999999E-3</v>
      </c>
      <c r="E45" s="279" t="s">
        <v>2399</v>
      </c>
      <c r="F45" s="289"/>
      <c r="G45" s="290" t="s">
        <v>2408</v>
      </c>
    </row>
    <row r="46" spans="1:7" s="257" customFormat="1" ht="13.5" customHeight="1">
      <c r="A46" s="949" t="s">
        <v>791</v>
      </c>
      <c r="B46" s="291" t="s">
        <v>2409</v>
      </c>
      <c r="C46" s="292">
        <f ca="1">ROUND((C33+C39)*F27,0)</f>
        <v>55610988</v>
      </c>
      <c r="D46" s="306"/>
      <c r="E46" s="279"/>
      <c r="F46" s="289"/>
      <c r="G46" s="290"/>
    </row>
    <row r="47" spans="1:7" s="257" customFormat="1" ht="13.5" customHeight="1">
      <c r="A47" s="949" t="s">
        <v>792</v>
      </c>
      <c r="B47" s="291" t="s">
        <v>2410</v>
      </c>
      <c r="C47" s="281">
        <f ca="1">ROUND(C40*F27,4)</f>
        <v>2.5999999999999999E-3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551453161</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551453161</v>
      </c>
      <c r="D51" s="275"/>
      <c r="E51" s="275"/>
      <c r="F51" s="307"/>
      <c r="G51" s="277" t="s">
        <v>2420</v>
      </c>
    </row>
    <row r="52" spans="1:7" s="251" customFormat="1" ht="16.5" thickBot="1">
      <c r="A52" s="308" t="s">
        <v>2421</v>
      </c>
      <c r="B52" s="309"/>
      <c r="C52" s="310">
        <f ca="1">C31+C51</f>
        <v>630436051</v>
      </c>
      <c r="D52" s="309"/>
      <c r="E52" s="309"/>
      <c r="F52" s="309"/>
      <c r="G52" s="311"/>
    </row>
    <row r="55" spans="1:7" ht="15">
      <c r="B55" s="313" t="s">
        <v>2422</v>
      </c>
      <c r="C55" s="314"/>
    </row>
    <row r="56" spans="1:7">
      <c r="B56" s="316" t="s">
        <v>1513</v>
      </c>
      <c r="C56" s="318">
        <f ca="1">1-C57</f>
        <v>0.125</v>
      </c>
    </row>
    <row r="57" spans="1:7">
      <c r="B57" s="316" t="s">
        <v>1514</v>
      </c>
      <c r="C57" s="317">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3"/>
  <sheetViews>
    <sheetView topLeftCell="A24" zoomScale="80" zoomScaleNormal="80" zoomScalePageLayoutView="80" workbookViewId="0">
      <selection activeCell="G65" sqref="G65"/>
    </sheetView>
  </sheetViews>
  <sheetFormatPr defaultColWidth="8.875" defaultRowHeight="14.25"/>
  <cols>
    <col min="1" max="1" width="14.375" style="402" customWidth="1"/>
    <col min="2" max="2" width="15.625" style="402" customWidth="1"/>
    <col min="3" max="3" width="15.875" style="402" customWidth="1"/>
    <col min="4" max="4" width="14.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f>F66</f>
        <v>63354</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2324</v>
      </c>
      <c r="B3" s="608">
        <f>ROUND(IF(D3="",B2*10000/'数据-汇总表'!E3,B2*10000/D3),0)</f>
        <v>4661</v>
      </c>
      <c r="C3" s="246" t="s">
        <v>2738</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2637</v>
      </c>
      <c r="B4" s="401"/>
      <c r="C4" s="3187" t="s">
        <v>2638</v>
      </c>
      <c r="D4" s="3200"/>
      <c r="E4" s="3201" t="s">
        <v>2639</v>
      </c>
      <c r="F4" s="3202"/>
      <c r="G4" s="3187" t="s">
        <v>2640</v>
      </c>
      <c r="H4" s="3200"/>
      <c r="I4" s="3187" t="s">
        <v>2641</v>
      </c>
      <c r="J4" s="3200"/>
      <c r="K4" s="609" t="s">
        <v>2642</v>
      </c>
      <c r="L4" s="1128"/>
      <c r="M4" s="1129"/>
      <c r="N4" s="1129"/>
      <c r="O4" s="1129"/>
      <c r="P4" s="3203" t="s">
        <v>2643</v>
      </c>
      <c r="Q4" s="3204"/>
      <c r="R4" s="3209" t="s">
        <v>2639</v>
      </c>
      <c r="S4" s="3210"/>
      <c r="T4" s="3209" t="s">
        <v>2640</v>
      </c>
      <c r="U4" s="3210"/>
      <c r="V4" s="3196" t="s">
        <v>2641</v>
      </c>
      <c r="W4" s="3196"/>
      <c r="X4" s="1809"/>
      <c r="Y4" s="3209" t="s">
        <v>2643</v>
      </c>
      <c r="Z4" s="3210"/>
      <c r="AA4" s="3197" t="s">
        <v>2639</v>
      </c>
      <c r="AB4" s="3198" t="s">
        <v>2640</v>
      </c>
      <c r="AC4" s="3197" t="s">
        <v>2641</v>
      </c>
    </row>
    <row r="5" spans="1:30" ht="15">
      <c r="A5" s="403"/>
      <c r="B5" s="404"/>
      <c r="C5" s="3217" t="s">
        <v>2534</v>
      </c>
      <c r="D5" s="3218"/>
      <c r="E5" s="3224" t="str">
        <f>土地案例!A6</f>
        <v>海口市椰海大道与永万路交汇处西北角</v>
      </c>
      <c r="F5" s="3225"/>
      <c r="G5" s="3217" t="str">
        <f>土地案例!A7</f>
        <v>海口市椰海大道与永万路交汇处西北角</v>
      </c>
      <c r="H5" s="3218"/>
      <c r="I5" s="3217" t="str">
        <f>土地案例!A19</f>
        <v>海口市滨涯路南侧</v>
      </c>
      <c r="J5" s="3218"/>
      <c r="K5" s="609"/>
      <c r="L5" s="1128"/>
      <c r="M5" s="1129"/>
      <c r="N5" s="1129"/>
      <c r="O5" s="1129"/>
      <c r="P5" s="3205"/>
      <c r="Q5" s="3206"/>
      <c r="R5" s="3211"/>
      <c r="S5" s="3212"/>
      <c r="T5" s="3211"/>
      <c r="U5" s="3212"/>
      <c r="V5" s="3196"/>
      <c r="W5" s="3196"/>
      <c r="X5" s="1809"/>
      <c r="Y5" s="3211"/>
      <c r="Z5" s="3212"/>
      <c r="AA5" s="3198"/>
      <c r="AB5" s="3198"/>
      <c r="AC5" s="3198"/>
    </row>
    <row r="6" spans="1:30" ht="15.75" thickBot="1">
      <c r="A6" s="405"/>
      <c r="B6" s="406"/>
      <c r="C6" s="3215" t="s">
        <v>2538</v>
      </c>
      <c r="D6" s="3216"/>
      <c r="E6" s="3222">
        <f>土地案例!F6</f>
        <v>4</v>
      </c>
      <c r="F6" s="3223"/>
      <c r="G6" s="3215">
        <f>土地案例!F7</f>
        <v>3</v>
      </c>
      <c r="H6" s="3216"/>
      <c r="I6" s="3215">
        <f>土地案例!F19</f>
        <v>3</v>
      </c>
      <c r="J6" s="3216"/>
      <c r="K6" s="609" t="s">
        <v>2539</v>
      </c>
      <c r="L6" s="1128"/>
      <c r="M6" s="1129"/>
      <c r="N6" s="1129"/>
      <c r="O6" s="1129"/>
      <c r="P6" s="3207"/>
      <c r="Q6" s="3208"/>
      <c r="R6" s="3211"/>
      <c r="S6" s="3212"/>
      <c r="T6" s="3213"/>
      <c r="U6" s="3214"/>
      <c r="V6" s="3196"/>
      <c r="W6" s="3196"/>
      <c r="X6" s="1809"/>
      <c r="Y6" s="3213"/>
      <c r="Z6" s="3214"/>
      <c r="AA6" s="3199"/>
      <c r="AB6" s="3199"/>
      <c r="AC6" s="3199"/>
    </row>
    <row r="7" spans="1:30" s="116" customFormat="1" ht="15.75" thickBot="1">
      <c r="A7" s="407" t="s">
        <v>2540</v>
      </c>
      <c r="B7" s="408"/>
      <c r="C7" s="409">
        <f>'数据-取费表'!B2</f>
        <v>43424</v>
      </c>
      <c r="D7" s="410">
        <v>100</v>
      </c>
      <c r="E7" s="411" t="str">
        <f>土地案例!K6</f>
        <v>2018-04-04</v>
      </c>
      <c r="F7" s="412">
        <f>SUMIF(70:70,YEAR(E7)&amp;"-"&amp;INT((MONTH(E7)+2)/3),71:71)</f>
        <v>96</v>
      </c>
      <c r="G7" s="2686" t="str">
        <f>土地案例!K7</f>
        <v>2018-04-04</v>
      </c>
      <c r="H7" s="410">
        <f>SUMIF(70:70,YEAR(G7)&amp;"-"&amp;INT((MONTH(G7)+2)/3),71:71)</f>
        <v>96</v>
      </c>
      <c r="I7" s="2686" t="str">
        <f>土地案例!K19</f>
        <v>2017-04-11</v>
      </c>
      <c r="J7" s="410">
        <f>SUMIF(70:70,YEAR(I7)&amp;"-"&amp;INT((MONTH(I7)+2)/3),71:71)</f>
        <v>88</v>
      </c>
      <c r="K7" s="610"/>
      <c r="L7" s="1130"/>
      <c r="M7" s="1131"/>
      <c r="N7" s="1131"/>
      <c r="O7" s="1131"/>
      <c r="P7" s="3219" t="s">
        <v>2541</v>
      </c>
      <c r="Q7" s="3221"/>
      <c r="R7" s="769" t="s">
        <v>17</v>
      </c>
      <c r="S7" s="770">
        <f t="shared" ref="S7:S15" si="0">F7</f>
        <v>96</v>
      </c>
      <c r="T7" s="769" t="s">
        <v>17</v>
      </c>
      <c r="U7" s="770">
        <f t="shared" ref="U7:U15" si="1">H7</f>
        <v>96</v>
      </c>
      <c r="V7" s="769" t="s">
        <v>17</v>
      </c>
      <c r="W7" s="770">
        <f t="shared" ref="W7:W15" si="2">J7</f>
        <v>88</v>
      </c>
      <c r="X7" s="771"/>
      <c r="Y7" s="3219" t="s">
        <v>2541</v>
      </c>
      <c r="Z7" s="3220"/>
      <c r="AA7" s="772">
        <f>D7/F7</f>
        <v>1.0416666666666667</v>
      </c>
      <c r="AB7" s="772">
        <f>D7/H7</f>
        <v>1.0416666666666667</v>
      </c>
      <c r="AC7" s="772">
        <f>D7/J7</f>
        <v>1.1363636363636365</v>
      </c>
    </row>
    <row r="8" spans="1:30" s="116" customFormat="1" ht="15.75" thickBot="1">
      <c r="A8" s="407" t="s">
        <v>2542</v>
      </c>
      <c r="B8" s="408"/>
      <c r="C8" s="413" t="s">
        <v>2543</v>
      </c>
      <c r="D8" s="410">
        <v>100</v>
      </c>
      <c r="E8" s="413" t="s">
        <v>3355</v>
      </c>
      <c r="F8" s="412">
        <f>SUMIF(73:73,E8,74:74)-SUMIF(73:73,C8,74:74)+100</f>
        <v>100</v>
      </c>
      <c r="G8" s="413" t="s">
        <v>3355</v>
      </c>
      <c r="H8" s="410">
        <f>SUMIF(73:73,G8,74:74)-SUMIF(73:73,C8,74:74)+100</f>
        <v>100</v>
      </c>
      <c r="I8" s="413" t="s">
        <v>3355</v>
      </c>
      <c r="J8" s="410">
        <f>SUMIF(73:73,I8,74:74)-SUMIF(73:73,C8,74:74)+100</f>
        <v>100</v>
      </c>
      <c r="K8" s="610"/>
      <c r="L8" s="1130"/>
      <c r="M8" s="1131"/>
      <c r="N8" s="1131"/>
      <c r="O8" s="1131"/>
      <c r="P8" s="3219" t="s">
        <v>2544</v>
      </c>
      <c r="Q8" s="3220"/>
      <c r="R8" s="769" t="s">
        <v>17</v>
      </c>
      <c r="S8" s="770">
        <f t="shared" si="0"/>
        <v>100</v>
      </c>
      <c r="T8" s="769" t="s">
        <v>17</v>
      </c>
      <c r="U8" s="770">
        <f t="shared" si="1"/>
        <v>100</v>
      </c>
      <c r="V8" s="769" t="s">
        <v>17</v>
      </c>
      <c r="W8" s="770">
        <f t="shared" si="2"/>
        <v>100</v>
      </c>
      <c r="X8" s="771"/>
      <c r="Y8" s="3219" t="s">
        <v>2544</v>
      </c>
      <c r="Z8" s="3220"/>
      <c r="AA8" s="772">
        <f t="shared" ref="AA8:AA45" si="3">D8/F8</f>
        <v>1</v>
      </c>
      <c r="AB8" s="772">
        <f t="shared" ref="AB8:AB45" si="4">D8/H8</f>
        <v>1</v>
      </c>
      <c r="AC8" s="772">
        <f t="shared" ref="AC8:AC45" si="5">D8/J8</f>
        <v>1</v>
      </c>
    </row>
    <row r="9" spans="1:30" s="116" customFormat="1" ht="28.5">
      <c r="A9" s="414" t="s">
        <v>2545</v>
      </c>
      <c r="B9" s="71" t="s">
        <v>2546</v>
      </c>
      <c r="C9" s="2689" t="s">
        <v>3356</v>
      </c>
      <c r="D9" s="134">
        <v>100</v>
      </c>
      <c r="E9" s="2689" t="s">
        <v>3145</v>
      </c>
      <c r="F9" s="134">
        <f>SUMIF(75:75,E9,76:76)-SUMIF(75:75,C9,76:76)+100</f>
        <v>100</v>
      </c>
      <c r="G9" s="2689" t="s">
        <v>3145</v>
      </c>
      <c r="H9" s="134">
        <f>SUMIF(75:75,G9,76:76)-SUMIF(75:75,C9,76:76)+100</f>
        <v>100</v>
      </c>
      <c r="I9" s="2689" t="s">
        <v>3188</v>
      </c>
      <c r="J9" s="134">
        <f>SUMIF(75:75,I9,76:76)-SUMIF(75:75,C9,76:76)+100</f>
        <v>100</v>
      </c>
      <c r="K9" s="610"/>
      <c r="L9" s="1130"/>
      <c r="M9" s="1131"/>
      <c r="N9" s="1131"/>
      <c r="O9" s="1132"/>
      <c r="P9" s="3190" t="s">
        <v>2547</v>
      </c>
      <c r="Q9" s="1791" t="str">
        <f t="shared" ref="Q9:Q15" si="6">B9</f>
        <v>用途</v>
      </c>
      <c r="R9" s="769" t="s">
        <v>17</v>
      </c>
      <c r="S9" s="770">
        <f t="shared" si="0"/>
        <v>100</v>
      </c>
      <c r="T9" s="769" t="s">
        <v>17</v>
      </c>
      <c r="U9" s="770">
        <f t="shared" si="1"/>
        <v>100</v>
      </c>
      <c r="V9" s="769" t="s">
        <v>17</v>
      </c>
      <c r="W9" s="770">
        <f t="shared" si="2"/>
        <v>100</v>
      </c>
      <c r="X9" s="771"/>
      <c r="Y9" s="3033" t="s">
        <v>2548</v>
      </c>
      <c r="Z9" s="55" t="str">
        <f t="shared" ref="Z9:Z15" si="7">Q9</f>
        <v>用途</v>
      </c>
      <c r="AA9" s="772">
        <f t="shared" si="3"/>
        <v>1</v>
      </c>
      <c r="AB9" s="772">
        <f t="shared" si="4"/>
        <v>1</v>
      </c>
      <c r="AC9" s="772">
        <f t="shared" si="5"/>
        <v>1</v>
      </c>
    </row>
    <row r="10" spans="1:30" s="426" customFormat="1" ht="42.75">
      <c r="A10" s="420"/>
      <c r="B10" s="421" t="s">
        <v>2549</v>
      </c>
      <c r="C10" s="431" t="str">
        <f>项目基本情况!F16</f>
        <v>住宅67.8年、商业37.8年及地下车库47.8年</v>
      </c>
      <c r="D10" s="135">
        <v>100</v>
      </c>
      <c r="E10" s="464" t="s">
        <v>3357</v>
      </c>
      <c r="F10" s="135">
        <f>ROUND(100/'数据-取费表'!G16,0)</f>
        <v>101</v>
      </c>
      <c r="G10" s="462" t="s">
        <v>3358</v>
      </c>
      <c r="H10" s="135">
        <f>ROUND(100/'数据-取费表'!G16,0)</f>
        <v>101</v>
      </c>
      <c r="I10" s="462" t="s">
        <v>3359</v>
      </c>
      <c r="J10" s="135">
        <f>ROUND(100/'数据-取费表'!G16,0)</f>
        <v>101</v>
      </c>
      <c r="K10" s="671"/>
      <c r="L10" s="1133"/>
      <c r="M10" s="1134"/>
      <c r="N10" s="1134"/>
      <c r="O10" s="1135"/>
      <c r="P10" s="3190"/>
      <c r="Q10" s="1791" t="str">
        <f t="shared" si="6"/>
        <v>土地使用年限（年）</v>
      </c>
      <c r="R10" s="769" t="s">
        <v>17</v>
      </c>
      <c r="S10" s="770">
        <f t="shared" si="0"/>
        <v>101</v>
      </c>
      <c r="T10" s="769" t="s">
        <v>17</v>
      </c>
      <c r="U10" s="770">
        <f t="shared" si="1"/>
        <v>101</v>
      </c>
      <c r="V10" s="769" t="s">
        <v>17</v>
      </c>
      <c r="W10" s="770">
        <f t="shared" si="2"/>
        <v>101</v>
      </c>
      <c r="X10" s="771"/>
      <c r="Y10" s="3033"/>
      <c r="Z10" s="55" t="str">
        <f t="shared" si="7"/>
        <v>土地使用年限（年）</v>
      </c>
      <c r="AA10" s="772">
        <f t="shared" si="3"/>
        <v>0.99009900990099009</v>
      </c>
      <c r="AB10" s="772">
        <f t="shared" si="4"/>
        <v>0.99009900990099009</v>
      </c>
      <c r="AC10" s="772">
        <f t="shared" si="5"/>
        <v>0.99009900990099009</v>
      </c>
    </row>
    <row r="11" spans="1:30" ht="15.75" thickBot="1">
      <c r="A11" s="427"/>
      <c r="B11" s="421" t="s">
        <v>2550</v>
      </c>
      <c r="C11" s="428">
        <f>'数据-汇总表'!I7</f>
        <v>3.52</v>
      </c>
      <c r="D11" s="135">
        <v>100</v>
      </c>
      <c r="E11" s="428">
        <v>2.8</v>
      </c>
      <c r="F11" s="135">
        <f>LOOKUP(E11,80:80,81:81)-LOOKUP(C11,80:80,81:81)+100</f>
        <v>106</v>
      </c>
      <c r="G11" s="429">
        <v>2.5</v>
      </c>
      <c r="H11" s="135">
        <f>LOOKUP(G11,80:80,81:81)-LOOKUP(C11,80:80,81:81)+100</f>
        <v>106</v>
      </c>
      <c r="I11" s="428">
        <v>2.54</v>
      </c>
      <c r="J11" s="135">
        <f>LOOKUP(I11,80:80,81:81)-LOOKUP(C11,80:80,81:81)+100</f>
        <v>106</v>
      </c>
      <c r="K11" s="672">
        <v>3</v>
      </c>
      <c r="L11" s="1136"/>
      <c r="M11" s="1129"/>
      <c r="N11" s="1129"/>
      <c r="O11" s="1137"/>
      <c r="P11" s="3190"/>
      <c r="Q11" s="1791" t="str">
        <f t="shared" si="6"/>
        <v>容积率</v>
      </c>
      <c r="R11" s="769" t="s">
        <v>17</v>
      </c>
      <c r="S11" s="770">
        <f t="shared" si="0"/>
        <v>106</v>
      </c>
      <c r="T11" s="769" t="s">
        <v>17</v>
      </c>
      <c r="U11" s="770">
        <f t="shared" si="1"/>
        <v>106</v>
      </c>
      <c r="V11" s="769" t="s">
        <v>17</v>
      </c>
      <c r="W11" s="770">
        <f t="shared" si="2"/>
        <v>106</v>
      </c>
      <c r="X11" s="771"/>
      <c r="Y11" s="3033"/>
      <c r="Z11" s="55" t="str">
        <f t="shared" si="7"/>
        <v>容积率</v>
      </c>
      <c r="AA11" s="772">
        <f t="shared" si="3"/>
        <v>0.94339622641509435</v>
      </c>
      <c r="AB11" s="772">
        <f t="shared" si="4"/>
        <v>0.94339622641509435</v>
      </c>
      <c r="AC11" s="772">
        <f t="shared" si="5"/>
        <v>0.94339622641509435</v>
      </c>
    </row>
    <row r="12" spans="1:30" s="116" customFormat="1" ht="15" hidden="1">
      <c r="A12" s="430"/>
      <c r="B12" s="2592"/>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90"/>
      <c r="Q12" s="1791">
        <f t="shared" si="6"/>
        <v>0</v>
      </c>
      <c r="R12" s="769" t="s">
        <v>17</v>
      </c>
      <c r="S12" s="770">
        <f t="shared" si="0"/>
        <v>100</v>
      </c>
      <c r="T12" s="769" t="s">
        <v>17</v>
      </c>
      <c r="U12" s="770">
        <f t="shared" si="1"/>
        <v>100</v>
      </c>
      <c r="V12" s="769" t="s">
        <v>17</v>
      </c>
      <c r="W12" s="770">
        <f t="shared" si="2"/>
        <v>100</v>
      </c>
      <c r="X12" s="771"/>
      <c r="Y12" s="3033"/>
      <c r="Z12" s="55">
        <f t="shared" si="7"/>
        <v>0</v>
      </c>
      <c r="AA12" s="772">
        <f>D12/F12</f>
        <v>1</v>
      </c>
      <c r="AB12" s="772">
        <f>D12/H12</f>
        <v>1</v>
      </c>
      <c r="AC12" s="772">
        <f>D12/J12</f>
        <v>1</v>
      </c>
    </row>
    <row r="13" spans="1:30" ht="15" hidden="1">
      <c r="A13" s="427"/>
      <c r="B13" s="2592"/>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90"/>
      <c r="Q13" s="1791">
        <f t="shared" si="6"/>
        <v>0</v>
      </c>
      <c r="R13" s="769" t="s">
        <v>17</v>
      </c>
      <c r="S13" s="770">
        <f t="shared" si="0"/>
        <v>100</v>
      </c>
      <c r="T13" s="769" t="s">
        <v>17</v>
      </c>
      <c r="U13" s="770">
        <f t="shared" si="1"/>
        <v>100</v>
      </c>
      <c r="V13" s="769" t="s">
        <v>17</v>
      </c>
      <c r="W13" s="770">
        <f t="shared" si="2"/>
        <v>100</v>
      </c>
      <c r="X13" s="771"/>
      <c r="Y13" s="3033"/>
      <c r="Z13" s="55">
        <f t="shared" si="7"/>
        <v>0</v>
      </c>
      <c r="AA13" s="772">
        <f>D13/F13</f>
        <v>1</v>
      </c>
      <c r="AB13" s="772">
        <f>D13/H13</f>
        <v>1</v>
      </c>
      <c r="AC13" s="772">
        <f>D13/J13</f>
        <v>1</v>
      </c>
    </row>
    <row r="14" spans="1:30" ht="15.75" hidden="1"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90"/>
      <c r="Q14" s="1791">
        <f t="shared" si="6"/>
        <v>0</v>
      </c>
      <c r="R14" s="769" t="s">
        <v>17</v>
      </c>
      <c r="S14" s="770">
        <f t="shared" si="0"/>
        <v>100</v>
      </c>
      <c r="T14" s="769" t="s">
        <v>17</v>
      </c>
      <c r="U14" s="770">
        <f t="shared" si="1"/>
        <v>100</v>
      </c>
      <c r="V14" s="769" t="s">
        <v>17</v>
      </c>
      <c r="W14" s="770">
        <f t="shared" si="2"/>
        <v>100</v>
      </c>
      <c r="X14" s="771"/>
      <c r="Y14" s="3033"/>
      <c r="Z14" s="55">
        <f t="shared" si="7"/>
        <v>0</v>
      </c>
      <c r="AA14" s="772">
        <f>D14/F14</f>
        <v>1</v>
      </c>
      <c r="AB14" s="772">
        <f>D14/H14</f>
        <v>1</v>
      </c>
      <c r="AC14" s="772">
        <f>D14/J14</f>
        <v>1</v>
      </c>
    </row>
    <row r="15" spans="1:30" ht="85.5">
      <c r="A15" s="439" t="s">
        <v>2551</v>
      </c>
      <c r="B15" s="69" t="s">
        <v>2081</v>
      </c>
      <c r="C15" s="2595" t="str">
        <f>估价对象房地状况!C15</f>
        <v>估价对象周边居住用地比例、居住小区规模和社区发展完善程度，综合评价居住社区成熟度一般</v>
      </c>
      <c r="D15" s="440">
        <v>100</v>
      </c>
      <c r="E15" s="441"/>
      <c r="F15" s="440">
        <f>SUMIF(88:88,E16,89:89)-SUMIF(88:88,C16,89:89)+100</f>
        <v>90</v>
      </c>
      <c r="G15" s="441"/>
      <c r="H15" s="440">
        <f>SUMIF(88:88,G16,89:89)-SUMIF(88:88,C16,89:89)+100</f>
        <v>90</v>
      </c>
      <c r="I15" s="443"/>
      <c r="J15" s="440">
        <f>SUMIF(88:88,I16,89:89)-SUMIF(88:88,C16,89:89)+100</f>
        <v>95</v>
      </c>
      <c r="K15" s="672">
        <v>5</v>
      </c>
      <c r="L15" s="1138"/>
      <c r="M15" s="1129"/>
      <c r="N15" s="1129"/>
      <c r="O15" s="1137"/>
      <c r="P15" s="3192" t="s">
        <v>2552</v>
      </c>
      <c r="Q15" s="1806" t="str">
        <f t="shared" si="6"/>
        <v>居住社区成熟度</v>
      </c>
      <c r="R15" s="773" t="s">
        <v>17</v>
      </c>
      <c r="S15" s="774">
        <f t="shared" si="0"/>
        <v>90</v>
      </c>
      <c r="T15" s="773" t="s">
        <v>17</v>
      </c>
      <c r="U15" s="774">
        <f t="shared" si="1"/>
        <v>90</v>
      </c>
      <c r="V15" s="773" t="s">
        <v>17</v>
      </c>
      <c r="W15" s="774">
        <f t="shared" si="2"/>
        <v>95</v>
      </c>
      <c r="X15" s="1809"/>
      <c r="Y15" s="3192" t="s">
        <v>2552</v>
      </c>
      <c r="Z15" s="1810" t="str">
        <f t="shared" si="7"/>
        <v>居住社区成熟度</v>
      </c>
      <c r="AA15" s="1807">
        <f t="shared" si="3"/>
        <v>1.1111111111111112</v>
      </c>
      <c r="AB15" s="1807">
        <f t="shared" si="4"/>
        <v>1.1111111111111112</v>
      </c>
      <c r="AC15" s="1807">
        <f t="shared" si="5"/>
        <v>1.0526315789473684</v>
      </c>
    </row>
    <row r="16" spans="1:30" ht="15">
      <c r="A16" s="427"/>
      <c r="B16" s="445"/>
      <c r="C16" s="446" t="s">
        <v>3360</v>
      </c>
      <c r="D16" s="447"/>
      <c r="E16" s="2597" t="s">
        <v>3362</v>
      </c>
      <c r="F16" s="447"/>
      <c r="G16" s="2597" t="s">
        <v>3362</v>
      </c>
      <c r="H16" s="449"/>
      <c r="I16" s="2596" t="s">
        <v>3361</v>
      </c>
      <c r="J16" s="447"/>
      <c r="K16" s="671"/>
      <c r="L16" s="1138"/>
      <c r="M16" s="1129"/>
      <c r="N16" s="1129"/>
      <c r="O16" s="1137"/>
      <c r="P16" s="3193"/>
      <c r="Q16" s="1806"/>
      <c r="R16" s="773"/>
      <c r="S16" s="774"/>
      <c r="T16" s="773"/>
      <c r="U16" s="774"/>
      <c r="V16" s="773"/>
      <c r="W16" s="774"/>
      <c r="X16" s="1809"/>
      <c r="Y16" s="3193"/>
      <c r="Z16" s="1810"/>
      <c r="AA16" s="1807">
        <v>1</v>
      </c>
      <c r="AB16" s="1807">
        <v>1</v>
      </c>
      <c r="AC16" s="1807">
        <v>1</v>
      </c>
    </row>
    <row r="17" spans="1:29" ht="57">
      <c r="A17" s="427"/>
      <c r="B17" s="450" t="s">
        <v>2645</v>
      </c>
      <c r="C17" s="2654"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100</v>
      </c>
      <c r="K17" s="672">
        <v>3</v>
      </c>
      <c r="L17" s="1138"/>
      <c r="M17" s="1129"/>
      <c r="N17" s="1129"/>
      <c r="O17" s="1137"/>
      <c r="P17" s="3193"/>
      <c r="Q17" s="1806" t="str">
        <f>B17</f>
        <v>商业繁华度</v>
      </c>
      <c r="R17" s="773" t="s">
        <v>17</v>
      </c>
      <c r="S17" s="774">
        <f>F17</f>
        <v>97</v>
      </c>
      <c r="T17" s="773" t="s">
        <v>17</v>
      </c>
      <c r="U17" s="774">
        <f>H17</f>
        <v>97</v>
      </c>
      <c r="V17" s="773" t="s">
        <v>17</v>
      </c>
      <c r="W17" s="774">
        <f>J17</f>
        <v>100</v>
      </c>
      <c r="X17" s="1809"/>
      <c r="Y17" s="3193"/>
      <c r="Z17" s="1810" t="str">
        <f>Q17</f>
        <v>商业繁华度</v>
      </c>
      <c r="AA17" s="1807">
        <f t="shared" si="3"/>
        <v>1.0309278350515463</v>
      </c>
      <c r="AB17" s="1807">
        <f t="shared" si="4"/>
        <v>1.0309278350515463</v>
      </c>
      <c r="AC17" s="1807">
        <f t="shared" si="5"/>
        <v>1</v>
      </c>
    </row>
    <row r="18" spans="1:29" ht="15">
      <c r="A18" s="427"/>
      <c r="B18" s="455"/>
      <c r="C18" s="2600" t="s">
        <v>3361</v>
      </c>
      <c r="D18" s="449"/>
      <c r="E18" s="2602" t="s">
        <v>3362</v>
      </c>
      <c r="F18" s="449"/>
      <c r="G18" s="2602" t="s">
        <v>3362</v>
      </c>
      <c r="H18" s="447"/>
      <c r="I18" s="2601" t="s">
        <v>3361</v>
      </c>
      <c r="J18" s="447"/>
      <c r="K18" s="671"/>
      <c r="L18" s="1138"/>
      <c r="M18" s="1129"/>
      <c r="N18" s="1129"/>
      <c r="O18" s="1137"/>
      <c r="P18" s="3193"/>
      <c r="Q18" s="1806"/>
      <c r="R18" s="773"/>
      <c r="S18" s="774"/>
      <c r="T18" s="773"/>
      <c r="U18" s="774"/>
      <c r="V18" s="773"/>
      <c r="W18" s="774"/>
      <c r="X18" s="1809"/>
      <c r="Y18" s="3193"/>
      <c r="Z18" s="1810"/>
      <c r="AA18" s="1807">
        <v>1</v>
      </c>
      <c r="AB18" s="1807">
        <v>1</v>
      </c>
      <c r="AC18" s="1807">
        <v>1</v>
      </c>
    </row>
    <row r="19" spans="1:29" ht="71.25" hidden="1">
      <c r="A19" s="427"/>
      <c r="B19" s="450" t="s">
        <v>2679</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193"/>
      <c r="Q19" s="1806" t="str">
        <f>B19</f>
        <v>办公集聚程度</v>
      </c>
      <c r="R19" s="773" t="s">
        <v>17</v>
      </c>
      <c r="S19" s="774">
        <f>F19</f>
        <v>100</v>
      </c>
      <c r="T19" s="773" t="s">
        <v>17</v>
      </c>
      <c r="U19" s="774">
        <f>H19</f>
        <v>100</v>
      </c>
      <c r="V19" s="773" t="s">
        <v>17</v>
      </c>
      <c r="W19" s="774">
        <f>J19</f>
        <v>100</v>
      </c>
      <c r="X19" s="1809"/>
      <c r="Y19" s="3193"/>
      <c r="Z19" s="1810" t="str">
        <f>Q19</f>
        <v>办公集聚程度</v>
      </c>
      <c r="AA19" s="1807">
        <f t="shared" si="3"/>
        <v>1</v>
      </c>
      <c r="AB19" s="1807">
        <f t="shared" si="4"/>
        <v>1</v>
      </c>
      <c r="AC19" s="1807">
        <f t="shared" si="5"/>
        <v>1</v>
      </c>
    </row>
    <row r="20" spans="1:29" ht="15" hidden="1">
      <c r="A20" s="427"/>
      <c r="B20" s="455"/>
      <c r="C20" s="446"/>
      <c r="D20" s="447"/>
      <c r="E20" s="2597"/>
      <c r="F20" s="447"/>
      <c r="G20" s="2597"/>
      <c r="H20" s="447"/>
      <c r="I20" s="2596"/>
      <c r="J20" s="447"/>
      <c r="K20" s="671"/>
      <c r="L20" s="1138"/>
      <c r="M20" s="1129"/>
      <c r="N20" s="1129"/>
      <c r="O20" s="1137"/>
      <c r="P20" s="3193"/>
      <c r="Q20" s="1806"/>
      <c r="R20" s="773"/>
      <c r="S20" s="774"/>
      <c r="T20" s="773"/>
      <c r="U20" s="774"/>
      <c r="V20" s="773"/>
      <c r="W20" s="774"/>
      <c r="X20" s="1809"/>
      <c r="Y20" s="3193"/>
      <c r="Z20" s="1810"/>
      <c r="AA20" s="1807">
        <v>1</v>
      </c>
      <c r="AB20" s="1807">
        <v>1</v>
      </c>
      <c r="AC20" s="1807">
        <v>1</v>
      </c>
    </row>
    <row r="21" spans="1:29" ht="71.25">
      <c r="A21" s="427"/>
      <c r="B21" s="450" t="s">
        <v>2701</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193"/>
      <c r="Q21" s="1806" t="str">
        <f>B21</f>
        <v>交通便捷度</v>
      </c>
      <c r="R21" s="773" t="s">
        <v>17</v>
      </c>
      <c r="S21" s="774">
        <f>F21</f>
        <v>100</v>
      </c>
      <c r="T21" s="773" t="s">
        <v>17</v>
      </c>
      <c r="U21" s="774">
        <f>H21</f>
        <v>100</v>
      </c>
      <c r="V21" s="773" t="s">
        <v>17</v>
      </c>
      <c r="W21" s="774">
        <f>J21</f>
        <v>100</v>
      </c>
      <c r="X21" s="1809"/>
      <c r="Y21" s="3193"/>
      <c r="Z21" s="1810" t="str">
        <f>Q21</f>
        <v>交通便捷度</v>
      </c>
      <c r="AA21" s="1807">
        <f t="shared" si="3"/>
        <v>1</v>
      </c>
      <c r="AB21" s="1807">
        <f t="shared" si="4"/>
        <v>1</v>
      </c>
      <c r="AC21" s="1807">
        <f t="shared" si="5"/>
        <v>1</v>
      </c>
    </row>
    <row r="22" spans="1:29" ht="15">
      <c r="A22" s="427"/>
      <c r="B22" s="1382"/>
      <c r="C22" s="446" t="s">
        <v>3360</v>
      </c>
      <c r="D22" s="449"/>
      <c r="E22" s="2597" t="s">
        <v>3360</v>
      </c>
      <c r="F22" s="447"/>
      <c r="G22" s="2597" t="s">
        <v>3360</v>
      </c>
      <c r="H22" s="447"/>
      <c r="I22" s="2596" t="s">
        <v>3360</v>
      </c>
      <c r="J22" s="447"/>
      <c r="K22" s="671"/>
      <c r="L22" s="1138"/>
      <c r="M22" s="1129"/>
      <c r="N22" s="1129"/>
      <c r="O22" s="1137"/>
      <c r="P22" s="3193"/>
      <c r="Q22" s="1806"/>
      <c r="R22" s="773"/>
      <c r="S22" s="774"/>
      <c r="T22" s="773"/>
      <c r="U22" s="774"/>
      <c r="V22" s="773"/>
      <c r="W22" s="774"/>
      <c r="X22" s="1809"/>
      <c r="Y22" s="3193"/>
      <c r="Z22" s="1810"/>
      <c r="AA22" s="1807">
        <v>1</v>
      </c>
      <c r="AB22" s="1807">
        <v>1</v>
      </c>
      <c r="AC22" s="1807">
        <v>1</v>
      </c>
    </row>
    <row r="23" spans="1:29" ht="15">
      <c r="A23" s="403"/>
      <c r="B23" s="450" t="s">
        <v>2739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8"/>
      <c r="M23" s="1129"/>
      <c r="N23" s="1129"/>
      <c r="O23" s="1137"/>
      <c r="P23" s="3193"/>
      <c r="Q23" s="1806" t="str">
        <f t="shared" ref="Q23:Q37" si="8">B23</f>
        <v>区域土地利用方向</v>
      </c>
      <c r="R23" s="773" t="s">
        <v>17</v>
      </c>
      <c r="S23" s="774">
        <f>F23</f>
        <v>100</v>
      </c>
      <c r="T23" s="773" t="s">
        <v>17</v>
      </c>
      <c r="U23" s="774">
        <f>H23</f>
        <v>100</v>
      </c>
      <c r="V23" s="773" t="s">
        <v>17</v>
      </c>
      <c r="W23" s="774">
        <f>J23</f>
        <v>100</v>
      </c>
      <c r="X23" s="1809"/>
      <c r="Y23" s="3193"/>
      <c r="Z23" s="1810" t="str">
        <f>Q23</f>
        <v>区域土地利用方向</v>
      </c>
      <c r="AA23" s="1807">
        <f t="shared" si="3"/>
        <v>1</v>
      </c>
      <c r="AB23" s="1807">
        <f t="shared" si="4"/>
        <v>1</v>
      </c>
      <c r="AC23" s="1807">
        <f t="shared" si="5"/>
        <v>1</v>
      </c>
    </row>
    <row r="24" spans="1:29" ht="15">
      <c r="A24" s="403"/>
      <c r="B24" s="455"/>
      <c r="C24" s="615" t="s">
        <v>3360</v>
      </c>
      <c r="D24" s="447"/>
      <c r="E24" s="2597" t="s">
        <v>3360</v>
      </c>
      <c r="F24" s="447"/>
      <c r="G24" s="2596" t="s">
        <v>3360</v>
      </c>
      <c r="H24" s="447"/>
      <c r="I24" s="2596" t="s">
        <v>3360</v>
      </c>
      <c r="J24" s="447"/>
      <c r="K24" s="807"/>
      <c r="L24" s="1138"/>
      <c r="M24" s="1129"/>
      <c r="N24" s="1129"/>
      <c r="O24" s="1137"/>
      <c r="P24" s="3193"/>
      <c r="Q24" s="1806"/>
      <c r="R24" s="773"/>
      <c r="S24" s="774"/>
      <c r="T24" s="773"/>
      <c r="U24" s="774"/>
      <c r="V24" s="773"/>
      <c r="W24" s="774"/>
      <c r="X24" s="1809"/>
      <c r="Y24" s="3193"/>
      <c r="Z24" s="1810"/>
      <c r="AA24" s="1807"/>
      <c r="AB24" s="1807"/>
      <c r="AC24" s="1807"/>
    </row>
    <row r="25" spans="1:29" ht="42.75">
      <c r="A25" s="403"/>
      <c r="B25" s="1382" t="s">
        <v>2740</v>
      </c>
      <c r="C25" s="2654" t="str">
        <f>估价对象房地状况!C20</f>
        <v>区域自然环境：；人文环境；综合评价环境状况一般</v>
      </c>
      <c r="D25" s="449">
        <v>100</v>
      </c>
      <c r="E25" s="451"/>
      <c r="F25" s="449">
        <f>SUMIF(98:98,E26,99:99)-SUMIF(98:98,C26,99:99)+100</f>
        <v>95</v>
      </c>
      <c r="G25" s="451"/>
      <c r="H25" s="449">
        <f>SUMIF(98:98,G26,99:99)-SUMIF(98:98,C26,99:99)+100</f>
        <v>95</v>
      </c>
      <c r="I25" s="453"/>
      <c r="J25" s="449">
        <f>SUMIF(98:98,I26,99:99)-SUMIF(98:98,C26,99:99)+100</f>
        <v>100</v>
      </c>
      <c r="K25" s="672">
        <v>5</v>
      </c>
      <c r="L25" s="1138"/>
      <c r="M25" s="1129"/>
      <c r="N25" s="1129"/>
      <c r="O25" s="1137"/>
      <c r="P25" s="3193"/>
      <c r="Q25" s="1806" t="str">
        <f t="shared" si="8"/>
        <v>自然及人文环境状况</v>
      </c>
      <c r="R25" s="773" t="s">
        <v>17</v>
      </c>
      <c r="S25" s="774">
        <f>F25</f>
        <v>95</v>
      </c>
      <c r="T25" s="773" t="s">
        <v>17</v>
      </c>
      <c r="U25" s="774">
        <f>H25</f>
        <v>95</v>
      </c>
      <c r="V25" s="773" t="s">
        <v>17</v>
      </c>
      <c r="W25" s="774">
        <f>J25</f>
        <v>100</v>
      </c>
      <c r="X25" s="1809"/>
      <c r="Y25" s="3193"/>
      <c r="Z25" s="1810" t="str">
        <f>Q25</f>
        <v>自然及人文环境状况</v>
      </c>
      <c r="AA25" s="1807">
        <f t="shared" si="3"/>
        <v>1.0526315789473684</v>
      </c>
      <c r="AB25" s="1807">
        <f t="shared" si="4"/>
        <v>1.0526315789473684</v>
      </c>
      <c r="AC25" s="1807">
        <f t="shared" si="5"/>
        <v>1</v>
      </c>
    </row>
    <row r="26" spans="1:29" ht="15">
      <c r="A26" s="403"/>
      <c r="B26" s="455"/>
      <c r="C26" s="446" t="s">
        <v>3360</v>
      </c>
      <c r="D26" s="447"/>
      <c r="E26" s="446" t="s">
        <v>3361</v>
      </c>
      <c r="F26" s="447"/>
      <c r="G26" s="446" t="s">
        <v>3361</v>
      </c>
      <c r="H26" s="447"/>
      <c r="I26" s="446" t="s">
        <v>3360</v>
      </c>
      <c r="J26" s="447"/>
      <c r="K26" s="671"/>
      <c r="L26" s="1138"/>
      <c r="M26" s="1129"/>
      <c r="N26" s="1129"/>
      <c r="O26" s="1137"/>
      <c r="P26" s="3193"/>
      <c r="Q26" s="1806"/>
      <c r="R26" s="773"/>
      <c r="S26" s="774"/>
      <c r="T26" s="773"/>
      <c r="U26" s="774"/>
      <c r="V26" s="773"/>
      <c r="W26" s="774"/>
      <c r="X26" s="1809"/>
      <c r="Y26" s="3193"/>
      <c r="Z26" s="1810"/>
      <c r="AA26" s="1807">
        <v>1</v>
      </c>
      <c r="AB26" s="1807">
        <v>1</v>
      </c>
      <c r="AC26" s="1807">
        <v>1</v>
      </c>
    </row>
    <row r="27" spans="1:29" s="116" customFormat="1" ht="42.75">
      <c r="A27" s="648"/>
      <c r="B27" s="1382" t="s">
        <v>2646</v>
      </c>
      <c r="C27" s="2599" t="str">
        <f>估价对象房地状况!C21</f>
        <v>估价对象所在区域公共配套设施齐备情况</v>
      </c>
      <c r="D27" s="449">
        <v>100</v>
      </c>
      <c r="E27" s="451"/>
      <c r="F27" s="449">
        <f>SUMIF(100:100,E28,101:101)-SUMIF(100:100,C28,101:101)+100</f>
        <v>90</v>
      </c>
      <c r="G27" s="451"/>
      <c r="H27" s="449">
        <f>SUMIF(100:100,G28,101:101)-SUMIF(100:100,C28,101:101)+100</f>
        <v>90</v>
      </c>
      <c r="I27" s="453"/>
      <c r="J27" s="449">
        <f>SUMIF(100:100,I28,101:101)-SUMIF(100:100,C28,101:101)+100</f>
        <v>100</v>
      </c>
      <c r="K27" s="672">
        <v>5</v>
      </c>
      <c r="L27" s="1130"/>
      <c r="M27" s="1131"/>
      <c r="N27" s="1131"/>
      <c r="O27" s="1132"/>
      <c r="P27" s="3193"/>
      <c r="Q27" s="1791" t="str">
        <f t="shared" si="8"/>
        <v>公共配套设施</v>
      </c>
      <c r="R27" s="769" t="s">
        <v>17</v>
      </c>
      <c r="S27" s="770">
        <f>F27</f>
        <v>90</v>
      </c>
      <c r="T27" s="769" t="s">
        <v>17</v>
      </c>
      <c r="U27" s="770">
        <f>H27</f>
        <v>90</v>
      </c>
      <c r="V27" s="769" t="s">
        <v>17</v>
      </c>
      <c r="W27" s="770">
        <f>J27</f>
        <v>100</v>
      </c>
      <c r="X27" s="771"/>
      <c r="Y27" s="3193"/>
      <c r="Z27" s="55" t="str">
        <f>Q27</f>
        <v>公共配套设施</v>
      </c>
      <c r="AA27" s="1807">
        <f>D27/F27</f>
        <v>1.1111111111111112</v>
      </c>
      <c r="AB27" s="1807">
        <f>D27/H27</f>
        <v>1.1111111111111112</v>
      </c>
      <c r="AC27" s="1807">
        <f>D27/J27</f>
        <v>1</v>
      </c>
    </row>
    <row r="28" spans="1:29" s="116" customFormat="1" ht="15">
      <c r="A28" s="648"/>
      <c r="B28" s="455"/>
      <c r="C28" s="2690" t="s">
        <v>3360</v>
      </c>
      <c r="D28" s="447"/>
      <c r="E28" s="2603" t="s">
        <v>3362</v>
      </c>
      <c r="F28" s="447"/>
      <c r="G28" s="2603" t="s">
        <v>3362</v>
      </c>
      <c r="H28" s="447"/>
      <c r="I28" s="446" t="s">
        <v>3360</v>
      </c>
      <c r="J28" s="447"/>
      <c r="K28" s="671"/>
      <c r="L28" s="1130"/>
      <c r="M28" s="1131"/>
      <c r="N28" s="1131"/>
      <c r="O28" s="1132"/>
      <c r="P28" s="3193"/>
      <c r="Q28" s="1791"/>
      <c r="R28" s="769"/>
      <c r="S28" s="770"/>
      <c r="T28" s="769"/>
      <c r="U28" s="770"/>
      <c r="V28" s="769"/>
      <c r="W28" s="770"/>
      <c r="X28" s="771"/>
      <c r="Y28" s="3193"/>
      <c r="Z28" s="55"/>
      <c r="AA28" s="1807">
        <v>1</v>
      </c>
      <c r="AB28" s="1807">
        <v>1</v>
      </c>
      <c r="AC28" s="1807">
        <v>1</v>
      </c>
    </row>
    <row r="29" spans="1:29" s="116" customFormat="1" ht="28.5">
      <c r="A29" s="648"/>
      <c r="B29" s="1382" t="s">
        <v>2647</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2">
        <v>2</v>
      </c>
      <c r="L29" s="1130"/>
      <c r="M29" s="1131"/>
      <c r="N29" s="1131"/>
      <c r="O29" s="1132"/>
      <c r="P29" s="3193"/>
      <c r="Q29" s="1791" t="str">
        <f t="shared" ref="Q29" si="9">B29</f>
        <v>基础设施水平</v>
      </c>
      <c r="R29" s="769" t="s">
        <v>17</v>
      </c>
      <c r="S29" s="770">
        <f>F29</f>
        <v>100</v>
      </c>
      <c r="T29" s="769" t="s">
        <v>17</v>
      </c>
      <c r="U29" s="770">
        <f>H29</f>
        <v>100</v>
      </c>
      <c r="V29" s="769" t="s">
        <v>17</v>
      </c>
      <c r="W29" s="770">
        <f>J29</f>
        <v>100</v>
      </c>
      <c r="X29" s="771"/>
      <c r="Y29" s="3193"/>
      <c r="Z29" s="55" t="str">
        <f>Q29</f>
        <v>基础设施水平</v>
      </c>
      <c r="AA29" s="1807">
        <f>D29/F29</f>
        <v>1</v>
      </c>
      <c r="AB29" s="1807">
        <f>D29/H29</f>
        <v>1</v>
      </c>
      <c r="AC29" s="1807">
        <f>D29/J29</f>
        <v>1</v>
      </c>
    </row>
    <row r="30" spans="1:29" s="116" customFormat="1" ht="15">
      <c r="A30" s="648"/>
      <c r="B30" s="455"/>
      <c r="C30" s="2690" t="s">
        <v>3363</v>
      </c>
      <c r="D30" s="447"/>
      <c r="E30" s="2691" t="s">
        <v>3363</v>
      </c>
      <c r="F30" s="447"/>
      <c r="G30" s="2691" t="s">
        <v>3363</v>
      </c>
      <c r="H30" s="447"/>
      <c r="I30" s="2691" t="s">
        <v>3363</v>
      </c>
      <c r="J30" s="447"/>
      <c r="K30" s="671"/>
      <c r="L30" s="1130"/>
      <c r="M30" s="1131"/>
      <c r="N30" s="1131"/>
      <c r="O30" s="1132"/>
      <c r="P30" s="3193"/>
      <c r="Q30" s="1791"/>
      <c r="R30" s="769"/>
      <c r="S30" s="770"/>
      <c r="T30" s="769"/>
      <c r="U30" s="770"/>
      <c r="V30" s="769"/>
      <c r="W30" s="770"/>
      <c r="X30" s="771"/>
      <c r="Y30" s="3193"/>
      <c r="Z30" s="55"/>
      <c r="AA30" s="1807">
        <v>1</v>
      </c>
      <c r="AB30" s="1807">
        <v>1</v>
      </c>
      <c r="AC30" s="1807">
        <v>1</v>
      </c>
    </row>
    <row r="31" spans="1:29" ht="15" hidden="1">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193"/>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193"/>
      <c r="Z31" s="1810" t="str">
        <f t="shared" ref="Z31:Z45" si="13">Q31</f>
        <v>临街状况</v>
      </c>
      <c r="AA31" s="1807">
        <f t="shared" si="3"/>
        <v>1</v>
      </c>
      <c r="AB31" s="1807">
        <f t="shared" si="4"/>
        <v>1</v>
      </c>
      <c r="AC31" s="1807">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1"/>
      <c r="J32" s="449">
        <f>SUMIF(106:106,I33,107:107)-SUMIF(106:106,C33,107:107)+100</f>
        <v>100</v>
      </c>
      <c r="K32" s="672">
        <v>2</v>
      </c>
      <c r="L32" s="1138"/>
      <c r="M32" s="1129"/>
      <c r="N32" s="1129"/>
      <c r="O32" s="1137"/>
      <c r="P32" s="3193"/>
      <c r="Q32" s="1806" t="str">
        <f t="shared" si="8"/>
        <v>毗邻道路的类型与等级</v>
      </c>
      <c r="R32" s="773" t="s">
        <v>17</v>
      </c>
      <c r="S32" s="774">
        <f t="shared" si="10"/>
        <v>100</v>
      </c>
      <c r="T32" s="773" t="s">
        <v>17</v>
      </c>
      <c r="U32" s="774">
        <f t="shared" si="11"/>
        <v>100</v>
      </c>
      <c r="V32" s="773" t="s">
        <v>17</v>
      </c>
      <c r="W32" s="774">
        <f t="shared" si="12"/>
        <v>100</v>
      </c>
      <c r="X32" s="1809"/>
      <c r="Y32" s="3193"/>
      <c r="Z32" s="1810" t="str">
        <f t="shared" si="13"/>
        <v>毗邻道路的类型与等级</v>
      </c>
      <c r="AA32" s="1807">
        <f t="shared" si="3"/>
        <v>1</v>
      </c>
      <c r="AB32" s="1807">
        <f t="shared" si="4"/>
        <v>1</v>
      </c>
      <c r="AC32" s="1807">
        <f t="shared" si="5"/>
        <v>1</v>
      </c>
    </row>
    <row r="33" spans="1:29" ht="15.75" thickBot="1">
      <c r="A33" s="427"/>
      <c r="B33" s="455"/>
      <c r="C33" s="446" t="s">
        <v>3368</v>
      </c>
      <c r="D33" s="447"/>
      <c r="E33" s="2603" t="s">
        <v>3368</v>
      </c>
      <c r="F33" s="447"/>
      <c r="G33" s="2603" t="s">
        <v>3368</v>
      </c>
      <c r="H33" s="447"/>
      <c r="I33" s="2603" t="s">
        <v>3368</v>
      </c>
      <c r="J33" s="447"/>
      <c r="K33" s="612"/>
      <c r="L33" s="1138"/>
      <c r="M33" s="1129"/>
      <c r="N33" s="1129"/>
      <c r="O33" s="1137"/>
      <c r="P33" s="3193"/>
      <c r="Q33" s="1806"/>
      <c r="R33" s="773"/>
      <c r="S33" s="774"/>
      <c r="T33" s="773"/>
      <c r="U33" s="774"/>
      <c r="V33" s="773"/>
      <c r="W33" s="774"/>
      <c r="X33" s="1809"/>
      <c r="Y33" s="3193"/>
      <c r="Z33" s="1810"/>
      <c r="AA33" s="1807">
        <v>1</v>
      </c>
      <c r="AB33" s="1807">
        <v>1</v>
      </c>
      <c r="AC33" s="1807">
        <v>1</v>
      </c>
    </row>
    <row r="34" spans="1:29" ht="15" hidden="1">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193"/>
      <c r="Q34" s="1806" t="str">
        <f t="shared" si="8"/>
        <v>土地级别</v>
      </c>
      <c r="R34" s="773" t="s">
        <v>17</v>
      </c>
      <c r="S34" s="774">
        <f t="shared" si="10"/>
        <v>100</v>
      </c>
      <c r="T34" s="773" t="s">
        <v>17</v>
      </c>
      <c r="U34" s="774">
        <f t="shared" si="11"/>
        <v>100</v>
      </c>
      <c r="V34" s="773" t="s">
        <v>17</v>
      </c>
      <c r="W34" s="774">
        <f t="shared" si="12"/>
        <v>100</v>
      </c>
      <c r="X34" s="1809"/>
      <c r="Y34" s="3193"/>
      <c r="Z34" s="1810" t="str">
        <f t="shared" si="13"/>
        <v>土地级别</v>
      </c>
      <c r="AA34" s="1807">
        <f t="shared" si="3"/>
        <v>1</v>
      </c>
      <c r="AB34" s="1807">
        <f t="shared" si="4"/>
        <v>1</v>
      </c>
      <c r="AC34" s="1807">
        <f t="shared" si="5"/>
        <v>1</v>
      </c>
    </row>
    <row r="35" spans="1:29" ht="15" hidden="1">
      <c r="A35" s="403"/>
      <c r="B35" s="1384"/>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193"/>
      <c r="Q35" s="1806">
        <f t="shared" si="8"/>
        <v>0</v>
      </c>
      <c r="R35" s="773" t="s">
        <v>17</v>
      </c>
      <c r="S35" s="774">
        <f t="shared" si="10"/>
        <v>100</v>
      </c>
      <c r="T35" s="773" t="s">
        <v>17</v>
      </c>
      <c r="U35" s="774">
        <f t="shared" si="11"/>
        <v>100</v>
      </c>
      <c r="V35" s="773" t="s">
        <v>17</v>
      </c>
      <c r="W35" s="774">
        <f t="shared" si="12"/>
        <v>100</v>
      </c>
      <c r="X35" s="1809"/>
      <c r="Y35" s="3193"/>
      <c r="Z35" s="1810">
        <f t="shared" si="13"/>
        <v>0</v>
      </c>
      <c r="AA35" s="1807">
        <f t="shared" si="3"/>
        <v>1</v>
      </c>
      <c r="AB35" s="1807">
        <f t="shared" si="4"/>
        <v>1</v>
      </c>
      <c r="AC35" s="1807">
        <f t="shared" si="5"/>
        <v>1</v>
      </c>
    </row>
    <row r="36" spans="1:29" ht="15" hidden="1">
      <c r="A36" s="674"/>
      <c r="B36" s="1385"/>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194" t="s">
        <v>2557</v>
      </c>
      <c r="Q36" s="1806">
        <f t="shared" si="8"/>
        <v>0</v>
      </c>
      <c r="R36" s="773" t="s">
        <v>17</v>
      </c>
      <c r="S36" s="774">
        <f t="shared" si="10"/>
        <v>100</v>
      </c>
      <c r="T36" s="773" t="s">
        <v>17</v>
      </c>
      <c r="U36" s="774">
        <f t="shared" si="11"/>
        <v>100</v>
      </c>
      <c r="V36" s="773" t="s">
        <v>17</v>
      </c>
      <c r="W36" s="774">
        <f t="shared" si="12"/>
        <v>100</v>
      </c>
      <c r="X36" s="1809"/>
      <c r="Y36" s="3195" t="s">
        <v>2557</v>
      </c>
      <c r="Z36" s="1810">
        <f t="shared" si="13"/>
        <v>0</v>
      </c>
      <c r="AA36" s="1807">
        <f t="shared" si="3"/>
        <v>1</v>
      </c>
      <c r="AB36" s="1807">
        <f t="shared" si="4"/>
        <v>1</v>
      </c>
      <c r="AC36" s="1807">
        <f t="shared" si="5"/>
        <v>1</v>
      </c>
    </row>
    <row r="37" spans="1:29" s="470" customFormat="1" ht="15.75" hidden="1" thickBot="1">
      <c r="A37" s="675"/>
      <c r="B37" s="1386"/>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195"/>
      <c r="Q37" s="1806">
        <f t="shared" si="8"/>
        <v>0</v>
      </c>
      <c r="R37" s="776" t="s">
        <v>17</v>
      </c>
      <c r="S37" s="777">
        <f t="shared" si="10"/>
        <v>100</v>
      </c>
      <c r="T37" s="776" t="s">
        <v>17</v>
      </c>
      <c r="U37" s="777">
        <f t="shared" si="11"/>
        <v>100</v>
      </c>
      <c r="V37" s="776" t="s">
        <v>17</v>
      </c>
      <c r="W37" s="777">
        <f t="shared" si="12"/>
        <v>100</v>
      </c>
      <c r="X37" s="778"/>
      <c r="Y37" s="3195"/>
      <c r="Z37" s="779">
        <f t="shared" si="13"/>
        <v>0</v>
      </c>
      <c r="AA37" s="1807">
        <f t="shared" si="3"/>
        <v>1</v>
      </c>
      <c r="AB37" s="1807">
        <f t="shared" si="4"/>
        <v>1</v>
      </c>
      <c r="AC37" s="1807">
        <f t="shared" si="5"/>
        <v>1</v>
      </c>
    </row>
    <row r="38" spans="1:29" ht="15">
      <c r="A38" s="471" t="s">
        <v>2555</v>
      </c>
      <c r="B38" s="455" t="s">
        <v>2742</v>
      </c>
      <c r="C38" s="678">
        <f>'数据-汇总表'!D3</f>
        <v>30136.12</v>
      </c>
      <c r="D38" s="466">
        <v>100</v>
      </c>
      <c r="E38" s="678">
        <f>土地案例!H6</f>
        <v>138656.70000000001</v>
      </c>
      <c r="F38" s="466">
        <f>LOOKUP(E38,117:117,118:118)-LOOKUP(C38,117:117,118:118)+100</f>
        <v>100</v>
      </c>
      <c r="G38" s="678">
        <f>土地案例!H7</f>
        <v>49043</v>
      </c>
      <c r="H38" s="466">
        <f>LOOKUP(G38,117:117,118:118)-LOOKUP(C38,117:117,118:118)+100</f>
        <v>100</v>
      </c>
      <c r="I38" s="529">
        <f>土地案例!H19</f>
        <v>4208.0200000000004</v>
      </c>
      <c r="J38" s="466">
        <f>LOOKUP(I38,117:117,118:118)-LOOKUP(C38,117:117,118:118)+100</f>
        <v>100</v>
      </c>
      <c r="K38" s="612"/>
      <c r="L38" s="1138"/>
      <c r="M38" s="1129"/>
      <c r="N38" s="1129"/>
      <c r="O38" s="1137"/>
      <c r="P38" s="3195"/>
      <c r="Q38" s="1806" t="str">
        <f>B38</f>
        <v>宗地面积</v>
      </c>
      <c r="R38" s="773" t="s">
        <v>17</v>
      </c>
      <c r="S38" s="774">
        <f t="shared" si="10"/>
        <v>100</v>
      </c>
      <c r="T38" s="773" t="s">
        <v>17</v>
      </c>
      <c r="U38" s="774">
        <f t="shared" si="11"/>
        <v>100</v>
      </c>
      <c r="V38" s="773" t="s">
        <v>17</v>
      </c>
      <c r="W38" s="774">
        <f t="shared" si="12"/>
        <v>100</v>
      </c>
      <c r="X38" s="1809"/>
      <c r="Y38" s="3195"/>
      <c r="Z38" s="1810" t="str">
        <f t="shared" si="13"/>
        <v>宗地面积</v>
      </c>
      <c r="AA38" s="1807">
        <f t="shared" si="3"/>
        <v>1</v>
      </c>
      <c r="AB38" s="1807">
        <f t="shared" si="4"/>
        <v>1</v>
      </c>
      <c r="AC38" s="1807">
        <f t="shared" si="5"/>
        <v>1</v>
      </c>
    </row>
    <row r="39" spans="1:29" ht="15">
      <c r="A39" s="471"/>
      <c r="B39" s="421" t="s">
        <v>2743</v>
      </c>
      <c r="C39" s="2605" t="s">
        <v>3370</v>
      </c>
      <c r="D39" s="434">
        <v>100</v>
      </c>
      <c r="E39" s="2605" t="s">
        <v>3370</v>
      </c>
      <c r="F39" s="434">
        <f>SUMIF(119:119,E39,120:120)-SUMIF(119:119,C39,120:120)+100</f>
        <v>100</v>
      </c>
      <c r="G39" s="2605" t="s">
        <v>3370</v>
      </c>
      <c r="H39" s="434">
        <f>SUMIF(119:119,G39,120:120)-SUMIF(119:119,C39,120:120)+100</f>
        <v>100</v>
      </c>
      <c r="I39" s="2605" t="s">
        <v>3370</v>
      </c>
      <c r="J39" s="434">
        <f>SUMIF(119:119,I39,120:120)-SUMIF(119:119,C39,120:120)+100</f>
        <v>100</v>
      </c>
      <c r="K39" s="611">
        <v>2</v>
      </c>
      <c r="L39" s="1138"/>
      <c r="M39" s="1129"/>
      <c r="N39" s="1129"/>
      <c r="O39" s="1137"/>
      <c r="P39" s="3195"/>
      <c r="Q39" s="1806" t="str">
        <f t="shared" ref="Q39:Q45" si="14">B39</f>
        <v>宗地形状</v>
      </c>
      <c r="R39" s="773" t="s">
        <v>17</v>
      </c>
      <c r="S39" s="774">
        <f t="shared" si="10"/>
        <v>100</v>
      </c>
      <c r="T39" s="773" t="s">
        <v>17</v>
      </c>
      <c r="U39" s="774">
        <f t="shared" si="11"/>
        <v>100</v>
      </c>
      <c r="V39" s="773" t="s">
        <v>17</v>
      </c>
      <c r="W39" s="774">
        <f t="shared" si="12"/>
        <v>100</v>
      </c>
      <c r="X39" s="1809"/>
      <c r="Y39" s="3195"/>
      <c r="Z39" s="1810" t="str">
        <f t="shared" si="13"/>
        <v>宗地形状</v>
      </c>
      <c r="AA39" s="1807">
        <f t="shared" si="3"/>
        <v>1</v>
      </c>
      <c r="AB39" s="1807">
        <f t="shared" si="4"/>
        <v>1</v>
      </c>
      <c r="AC39" s="1807">
        <f t="shared" si="5"/>
        <v>1</v>
      </c>
    </row>
    <row r="40" spans="1:29" ht="15" hidden="1">
      <c r="A40" s="471"/>
      <c r="B40" s="421" t="s">
        <v>2744</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8"/>
      <c r="M40" s="1129"/>
      <c r="N40" s="1129"/>
      <c r="O40" s="1137"/>
      <c r="P40" s="3195"/>
      <c r="Q40" s="1806" t="str">
        <f t="shared" si="14"/>
        <v>临街宽度及深度</v>
      </c>
      <c r="R40" s="773" t="s">
        <v>17</v>
      </c>
      <c r="S40" s="774">
        <f t="shared" si="10"/>
        <v>100</v>
      </c>
      <c r="T40" s="773" t="s">
        <v>17</v>
      </c>
      <c r="U40" s="774">
        <f t="shared" si="11"/>
        <v>100</v>
      </c>
      <c r="V40" s="773" t="s">
        <v>17</v>
      </c>
      <c r="W40" s="774">
        <f t="shared" si="12"/>
        <v>100</v>
      </c>
      <c r="X40" s="1809"/>
      <c r="Y40" s="3195"/>
      <c r="Z40" s="1810" t="str">
        <f t="shared" si="13"/>
        <v>临街宽度及深度</v>
      </c>
      <c r="AA40" s="1807">
        <f t="shared" si="3"/>
        <v>1</v>
      </c>
      <c r="AB40" s="1807">
        <f t="shared" si="4"/>
        <v>1</v>
      </c>
      <c r="AC40" s="1807">
        <f t="shared" si="5"/>
        <v>1</v>
      </c>
    </row>
    <row r="41" spans="1:29" s="116" customFormat="1" ht="15">
      <c r="A41" s="472"/>
      <c r="B41" s="421" t="s">
        <v>2745</v>
      </c>
      <c r="C41" s="2692" t="s">
        <v>3372</v>
      </c>
      <c r="D41" s="135">
        <v>100</v>
      </c>
      <c r="E41" s="2692" t="s">
        <v>3372</v>
      </c>
      <c r="F41" s="434">
        <f>SUMIF(123:123,E41,124:124)-SUMIF(123:123,C41,124:124)+100</f>
        <v>100</v>
      </c>
      <c r="G41" s="2692" t="s">
        <v>3372</v>
      </c>
      <c r="H41" s="434">
        <f>SUMIF(123:123,G41,124:124)-SUMIF(123:123,C41,124:124)+100</f>
        <v>100</v>
      </c>
      <c r="I41" s="2692" t="s">
        <v>3372</v>
      </c>
      <c r="J41" s="434">
        <f>SUMIF(123:123,I41,124:124)-SUMIF(123:123,C41,124:124)+100</f>
        <v>100</v>
      </c>
      <c r="K41" s="611">
        <v>2</v>
      </c>
      <c r="L41" s="1130"/>
      <c r="M41" s="1131"/>
      <c r="N41" s="1131"/>
      <c r="O41" s="1132"/>
      <c r="P41" s="3195"/>
      <c r="Q41" s="1806" t="str">
        <f t="shared" si="14"/>
        <v>宗地开发程度</v>
      </c>
      <c r="R41" s="769" t="s">
        <v>17</v>
      </c>
      <c r="S41" s="770">
        <f t="shared" si="10"/>
        <v>100</v>
      </c>
      <c r="T41" s="769" t="s">
        <v>17</v>
      </c>
      <c r="U41" s="770">
        <f t="shared" si="11"/>
        <v>100</v>
      </c>
      <c r="V41" s="769" t="s">
        <v>17</v>
      </c>
      <c r="W41" s="770">
        <f t="shared" si="12"/>
        <v>100</v>
      </c>
      <c r="X41" s="771"/>
      <c r="Y41" s="3195"/>
      <c r="Z41" s="55" t="str">
        <f t="shared" si="13"/>
        <v>宗地开发程度</v>
      </c>
      <c r="AA41" s="772">
        <f t="shared" si="3"/>
        <v>1</v>
      </c>
      <c r="AB41" s="772">
        <f t="shared" si="4"/>
        <v>1</v>
      </c>
      <c r="AC41" s="772">
        <f t="shared" si="5"/>
        <v>1</v>
      </c>
    </row>
    <row r="42" spans="1:29" ht="15.75" thickBot="1">
      <c r="A42" s="471"/>
      <c r="B42" s="421" t="s">
        <v>2746</v>
      </c>
      <c r="C42" s="2605" t="s">
        <v>3360</v>
      </c>
      <c r="D42" s="434">
        <v>100</v>
      </c>
      <c r="E42" s="2605" t="s">
        <v>3360</v>
      </c>
      <c r="F42" s="434">
        <f>SUMIF(125:125,E42,126:126)-SUMIF(125:125,C42,126:126)+100</f>
        <v>100</v>
      </c>
      <c r="G42" s="2605" t="s">
        <v>3360</v>
      </c>
      <c r="H42" s="434">
        <f>SUMIF(125:125,G42,126:126)-SUMIF(125:125,C42,126:126)+100</f>
        <v>100</v>
      </c>
      <c r="I42" s="2605" t="s">
        <v>3360</v>
      </c>
      <c r="J42" s="434">
        <f>SUMIF(125:125,I42,126:126)-SUMIF(125:125,C42,126:126)+100</f>
        <v>100</v>
      </c>
      <c r="K42" s="611">
        <v>2</v>
      </c>
      <c r="L42" s="1138"/>
      <c r="M42" s="1129"/>
      <c r="N42" s="1129"/>
      <c r="O42" s="1137"/>
      <c r="P42" s="3195" t="s">
        <v>2557</v>
      </c>
      <c r="Q42" s="1806" t="str">
        <f t="shared" si="14"/>
        <v>工程地质条件</v>
      </c>
      <c r="R42" s="773" t="s">
        <v>17</v>
      </c>
      <c r="S42" s="774">
        <f t="shared" si="10"/>
        <v>100</v>
      </c>
      <c r="T42" s="773" t="s">
        <v>17</v>
      </c>
      <c r="U42" s="774">
        <f t="shared" si="11"/>
        <v>100</v>
      </c>
      <c r="V42" s="773" t="s">
        <v>17</v>
      </c>
      <c r="W42" s="774">
        <f t="shared" si="12"/>
        <v>100</v>
      </c>
      <c r="X42" s="1809"/>
      <c r="Y42" s="3195" t="s">
        <v>2557</v>
      </c>
      <c r="Z42" s="1810" t="str">
        <f t="shared" si="13"/>
        <v>工程地质条件</v>
      </c>
      <c r="AA42" s="1807">
        <f t="shared" si="3"/>
        <v>1</v>
      </c>
      <c r="AB42" s="1807">
        <f t="shared" si="4"/>
        <v>1</v>
      </c>
      <c r="AC42" s="1807">
        <f t="shared" si="5"/>
        <v>1</v>
      </c>
    </row>
    <row r="43" spans="1:29" ht="15" hidden="1">
      <c r="A43" s="471"/>
      <c r="B43" s="1385"/>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195"/>
      <c r="Q43" s="1806">
        <f t="shared" si="14"/>
        <v>0</v>
      </c>
      <c r="R43" s="773" t="s">
        <v>17</v>
      </c>
      <c r="S43" s="774">
        <f t="shared" si="10"/>
        <v>100</v>
      </c>
      <c r="T43" s="773" t="s">
        <v>17</v>
      </c>
      <c r="U43" s="774">
        <f t="shared" si="11"/>
        <v>100</v>
      </c>
      <c r="V43" s="773" t="s">
        <v>17</v>
      </c>
      <c r="W43" s="774">
        <f t="shared" si="12"/>
        <v>100</v>
      </c>
      <c r="X43" s="1809"/>
      <c r="Y43" s="3195"/>
      <c r="Z43" s="1810">
        <f t="shared" si="13"/>
        <v>0</v>
      </c>
      <c r="AA43" s="1807">
        <f t="shared" si="3"/>
        <v>1</v>
      </c>
      <c r="AB43" s="1807">
        <f t="shared" si="4"/>
        <v>1</v>
      </c>
      <c r="AC43" s="1807">
        <f t="shared" si="5"/>
        <v>1</v>
      </c>
    </row>
    <row r="44" spans="1:29" ht="15" hidden="1">
      <c r="A44" s="471"/>
      <c r="B44" s="1385"/>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195"/>
      <c r="Q44" s="1806">
        <f t="shared" si="14"/>
        <v>0</v>
      </c>
      <c r="R44" s="773" t="s">
        <v>17</v>
      </c>
      <c r="S44" s="774">
        <f t="shared" si="10"/>
        <v>100</v>
      </c>
      <c r="T44" s="773" t="s">
        <v>17</v>
      </c>
      <c r="U44" s="774">
        <f t="shared" si="11"/>
        <v>100</v>
      </c>
      <c r="V44" s="773" t="s">
        <v>17</v>
      </c>
      <c r="W44" s="774">
        <f t="shared" si="12"/>
        <v>100</v>
      </c>
      <c r="X44" s="1809"/>
      <c r="Y44" s="3195"/>
      <c r="Z44" s="1810">
        <f t="shared" si="13"/>
        <v>0</v>
      </c>
      <c r="AA44" s="1807">
        <f t="shared" si="3"/>
        <v>1</v>
      </c>
      <c r="AB44" s="1807">
        <f t="shared" si="4"/>
        <v>1</v>
      </c>
      <c r="AC44" s="1807">
        <f t="shared" si="5"/>
        <v>1</v>
      </c>
    </row>
    <row r="45" spans="1:29" s="470" customFormat="1" ht="15.75" hidden="1" thickBot="1">
      <c r="A45" s="467"/>
      <c r="B45" s="1385"/>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195"/>
      <c r="Q45" s="1806">
        <f t="shared" si="14"/>
        <v>0</v>
      </c>
      <c r="R45" s="776" t="s">
        <v>17</v>
      </c>
      <c r="S45" s="777">
        <f t="shared" si="10"/>
        <v>100</v>
      </c>
      <c r="T45" s="776" t="s">
        <v>17</v>
      </c>
      <c r="U45" s="777">
        <f t="shared" si="11"/>
        <v>100</v>
      </c>
      <c r="V45" s="776" t="s">
        <v>17</v>
      </c>
      <c r="W45" s="777">
        <f t="shared" si="12"/>
        <v>100</v>
      </c>
      <c r="X45" s="778"/>
      <c r="Y45" s="3195"/>
      <c r="Z45" s="779">
        <f t="shared" si="13"/>
        <v>0</v>
      </c>
      <c r="AA45" s="1807">
        <f t="shared" si="3"/>
        <v>1</v>
      </c>
      <c r="AB45" s="1807">
        <f t="shared" si="4"/>
        <v>1</v>
      </c>
      <c r="AC45" s="1807">
        <f t="shared" si="5"/>
        <v>1</v>
      </c>
    </row>
    <row r="46" spans="1:29" ht="15">
      <c r="A46" s="478" t="s">
        <v>2712</v>
      </c>
      <c r="B46" s="2694" t="s">
        <v>3398</v>
      </c>
      <c r="C46" s="681" t="s">
        <v>1</v>
      </c>
      <c r="D46" s="480"/>
      <c r="E46" s="481">
        <f>土地案例!P6</f>
        <v>4263.8500000000004</v>
      </c>
      <c r="F46" s="482"/>
      <c r="G46" s="483">
        <f>土地案例!P7</f>
        <v>4572.72</v>
      </c>
      <c r="H46" s="484"/>
      <c r="I46" s="481">
        <f>土地案例!P19</f>
        <v>5750</v>
      </c>
      <c r="J46" s="484"/>
      <c r="K46" s="782"/>
      <c r="L46" s="1141"/>
      <c r="M46" s="1142"/>
      <c r="N46" s="1129"/>
      <c r="O46" s="1142"/>
      <c r="P46" s="3190" t="str">
        <f>A46</f>
        <v>成交单价</v>
      </c>
      <c r="Q46" s="3190"/>
      <c r="R46" s="3196">
        <f>E46</f>
        <v>4263.8500000000004</v>
      </c>
      <c r="S46" s="3196"/>
      <c r="T46" s="3196">
        <f>G46</f>
        <v>4572.72</v>
      </c>
      <c r="U46" s="3196"/>
      <c r="V46" s="3196">
        <f>I46</f>
        <v>5750</v>
      </c>
      <c r="W46" s="3196"/>
      <c r="X46" s="758"/>
      <c r="Y46" s="780"/>
      <c r="Z46" s="758"/>
      <c r="AA46" s="758"/>
      <c r="AB46" s="758"/>
      <c r="AC46" s="758"/>
    </row>
    <row r="47" spans="1:29" ht="15.75" thickBot="1">
      <c r="A47" s="485" t="s">
        <v>2661</v>
      </c>
      <c r="B47" s="682"/>
      <c r="C47" s="489">
        <f>R48</f>
        <v>5981</v>
      </c>
      <c r="D47" s="488"/>
      <c r="E47" s="489">
        <f>R47</f>
        <v>5558</v>
      </c>
      <c r="F47" s="490"/>
      <c r="G47" s="487">
        <f>T47</f>
        <v>5961</v>
      </c>
      <c r="H47" s="488"/>
      <c r="I47" s="489">
        <f>V47</f>
        <v>6424</v>
      </c>
      <c r="J47" s="488"/>
      <c r="K47" s="783"/>
      <c r="L47" s="1141"/>
      <c r="M47" s="1142"/>
      <c r="N47" s="1142"/>
      <c r="O47" s="1142"/>
      <c r="P47" s="3190" t="str">
        <f>A47</f>
        <v>比较价值（元/平方米）</v>
      </c>
      <c r="Q47" s="3190"/>
      <c r="R47" s="3183">
        <f>ROUND(PRODUCT(R46,AA7:AA45),0)</f>
        <v>5558</v>
      </c>
      <c r="S47" s="3183"/>
      <c r="T47" s="3183">
        <f>ROUND(PRODUCT(T46,AB7:AB45),0)</f>
        <v>5961</v>
      </c>
      <c r="U47" s="3183"/>
      <c r="V47" s="3183">
        <f>ROUND(PRODUCT(V46,AC7:AC45),0)</f>
        <v>6424</v>
      </c>
      <c r="W47" s="3183"/>
      <c r="X47" s="758"/>
      <c r="Y47" s="758"/>
      <c r="Z47" s="758"/>
      <c r="AA47" s="758"/>
      <c r="AB47" s="758"/>
      <c r="AC47" s="758"/>
    </row>
    <row r="48" spans="1:29" ht="15.75" thickBot="1">
      <c r="A48" s="491" t="s">
        <v>2747</v>
      </c>
      <c r="B48" s="492"/>
      <c r="C48" s="493">
        <f>R48</f>
        <v>5981</v>
      </c>
      <c r="D48" s="493"/>
      <c r="E48" s="493"/>
      <c r="F48" s="493"/>
      <c r="G48" s="493"/>
      <c r="H48" s="493"/>
      <c r="I48" s="493"/>
      <c r="J48" s="493"/>
      <c r="K48" s="784"/>
      <c r="L48" s="1141"/>
      <c r="M48" s="1142"/>
      <c r="N48" s="1142"/>
      <c r="O48" s="1142"/>
      <c r="P48" s="3184" t="str">
        <f>A48</f>
        <v>估价对象XX用房的比较价值（楼面单价，元/平方米）</v>
      </c>
      <c r="Q48" s="3185"/>
      <c r="R48" s="3186">
        <f>ROUND(AVERAGE(R47:V47),0)</f>
        <v>5981</v>
      </c>
      <c r="S48" s="3186"/>
      <c r="T48" s="3186"/>
      <c r="U48" s="3186"/>
      <c r="V48" s="3186"/>
      <c r="W48" s="3186"/>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f>IF(E46&lt;E47,E47/E46-1,E46/E47-1)</f>
        <v>0.30351677474582828</v>
      </c>
      <c r="F51" s="499" t="str">
        <f>IF(OR(E51&gt;=0.3,E51&lt;=-0.3),"超过30%","")</f>
        <v>超过30%</v>
      </c>
      <c r="G51" s="498">
        <f>IF(G46&lt;G47,G47/G46-1,G46/G47-1)</f>
        <v>0.30360048286359098</v>
      </c>
      <c r="H51" s="499" t="str">
        <f>IF(OR(G51&gt;=0.3,G51&lt;=-0.3),"超过30%","")</f>
        <v>超过30%</v>
      </c>
      <c r="I51" s="498">
        <f>IF(I46&lt;I47,I47/I46-1,I46/I47-1)</f>
        <v>0.11721739130434772</v>
      </c>
      <c r="J51" s="499" t="str">
        <f>IF(OR(I51&gt;=0.3,I51&lt;=-0.3),"超过30%","")</f>
        <v/>
      </c>
      <c r="K51" s="1103"/>
      <c r="L51" s="1104"/>
      <c r="M51" s="1142"/>
      <c r="N51" s="1142"/>
      <c r="O51" s="1142"/>
    </row>
    <row r="52" spans="1:15" ht="13.5" customHeight="1">
      <c r="A52" s="1142"/>
      <c r="B52" s="1142"/>
      <c r="C52" s="496" t="s">
        <v>2664</v>
      </c>
      <c r="D52" s="500"/>
      <c r="E52" s="498">
        <f>IF(E47&lt;G47,G47/E47-1,E47/G47-1)</f>
        <v>7.2508096437567504E-2</v>
      </c>
      <c r="F52" s="499" t="str">
        <f>IF(OR(E52&gt;=0.2,E52&lt;=-0.2),"超过20%","")</f>
        <v/>
      </c>
      <c r="G52" s="498">
        <f>IF(G47&lt;I47,I47/G47-1,G47/I47-1)</f>
        <v>7.7671531622210965E-2</v>
      </c>
      <c r="H52" s="499" t="str">
        <f>IF(OR(G52&gt;=0.2,G52&lt;=-0.2),"超过20%","")</f>
        <v/>
      </c>
      <c r="I52" s="498">
        <f>IF(I47&lt;E47,E47/I47-1,I47/E47-1)</f>
        <v>0.15581144296509541</v>
      </c>
      <c r="J52" s="499" t="str">
        <f>IF(OR(I52&gt;=0.2,I52&lt;=-0.2),"超过20%","")</f>
        <v/>
      </c>
      <c r="K52" s="1103"/>
      <c r="L52" s="1104"/>
      <c r="M52" s="1142"/>
      <c r="N52" s="1142"/>
      <c r="O52" s="1142"/>
    </row>
    <row r="53" spans="1:15" s="501" customFormat="1" ht="13.5" customHeight="1">
      <c r="A53" s="1143"/>
      <c r="B53" s="1143"/>
      <c r="C53" s="496" t="s">
        <v>2665</v>
      </c>
      <c r="D53" s="500"/>
      <c r="E53" s="498">
        <f>IF(E46&lt;G46,G46/E46-1,E46/G46-1)</f>
        <v>7.2439227458751976E-2</v>
      </c>
      <c r="F53" s="499" t="str">
        <f>IF(OR(E53&gt;=0.3,E53&lt;=-0.3),"超过30%","")</f>
        <v/>
      </c>
      <c r="G53" s="498">
        <f>IF(G46&lt;I46,I46/G46-1,G46/I46-1)</f>
        <v>0.25745726832169913</v>
      </c>
      <c r="H53" s="499" t="str">
        <f>IF(OR(G53&gt;=0.3,G53&lt;=-0.3),"超过30%","")</f>
        <v/>
      </c>
      <c r="I53" s="498">
        <f>IF(I46&lt;E46,E46/I46-1,I46/E46-1)</f>
        <v>0.3485465014013156</v>
      </c>
      <c r="J53" s="499" t="str">
        <f>IF(OR(I53&gt;=0.3,I53&lt;=-0.3),"超过30%","")</f>
        <v>超过30%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2748</v>
      </c>
      <c r="B55" s="684" t="s">
        <v>2749</v>
      </c>
      <c r="C55" s="2695" t="s">
        <v>2750</v>
      </c>
      <c r="D55" s="2696" t="s">
        <v>2751</v>
      </c>
      <c r="E55" s="685" t="s">
        <v>2752</v>
      </c>
      <c r="F55" s="1105" t="s">
        <v>2753</v>
      </c>
      <c r="G55" s="3187" t="s">
        <v>2754</v>
      </c>
      <c r="H55" s="3188"/>
      <c r="I55" s="143" t="s">
        <v>2755</v>
      </c>
      <c r="J55" s="2697" t="str">
        <f>项目基本情况!F35</f>
        <v>海南省</v>
      </c>
      <c r="K55" s="2698" t="s">
        <v>2756</v>
      </c>
      <c r="L55" s="1104"/>
      <c r="M55" s="1142"/>
      <c r="N55" s="1142"/>
      <c r="O55" s="1142"/>
    </row>
    <row r="56" spans="1:15" s="691" customFormat="1">
      <c r="A56" s="687" t="s">
        <v>2757</v>
      </c>
      <c r="B56" s="688">
        <f>C48</f>
        <v>5981</v>
      </c>
      <c r="C56" s="689">
        <v>1</v>
      </c>
      <c r="D56" s="1161">
        <v>1</v>
      </c>
      <c r="E56" s="689">
        <f>'数据-汇总表'!E8+'数据-汇总表'!E9</f>
        <v>105925.04000000001</v>
      </c>
      <c r="F56" s="1101">
        <f t="shared" ref="F56:F65" si="15">ROUND(B56*E56/10000,0)</f>
        <v>63354</v>
      </c>
      <c r="G56" s="3189"/>
      <c r="H56" s="3190"/>
      <c r="I56" s="1106">
        <v>1</v>
      </c>
      <c r="J56" s="1109">
        <v>1</v>
      </c>
      <c r="K56" s="1143"/>
      <c r="L56" s="939"/>
      <c r="M56" s="939"/>
      <c r="N56" s="939"/>
      <c r="O56" s="939"/>
    </row>
    <row r="57" spans="1:15" s="691" customFormat="1">
      <c r="A57" s="692" t="s">
        <v>2758</v>
      </c>
      <c r="B57" s="261">
        <f>ROUND($C$48*C57*D57,0)</f>
        <v>0</v>
      </c>
      <c r="C57" s="199">
        <f t="shared" ref="C57:C65" si="16">IF($C$55="北京市系数",I57,J57)</f>
        <v>0</v>
      </c>
      <c r="D57" s="1162">
        <v>0.25</v>
      </c>
      <c r="E57" s="693"/>
      <c r="F57" s="1101">
        <f t="shared" si="15"/>
        <v>0</v>
      </c>
      <c r="G57" s="3191" t="s">
        <v>2759</v>
      </c>
      <c r="H57" s="1102">
        <f>项目基本情况!B37</f>
        <v>0</v>
      </c>
      <c r="I57" s="1106">
        <f>SUMIF(修正!A45:A56,H57,修正!B45:B56)</f>
        <v>0</v>
      </c>
      <c r="J57" s="1110"/>
      <c r="K57" s="1142"/>
      <c r="L57" s="939"/>
      <c r="M57" s="939"/>
      <c r="N57" s="939"/>
      <c r="O57" s="939"/>
    </row>
    <row r="58" spans="1:15" s="691" customFormat="1">
      <c r="A58" s="692" t="s">
        <v>2760</v>
      </c>
      <c r="B58" s="261">
        <f t="shared" ref="B58:B65" si="17">ROUND($C$48*C58*D58,0)</f>
        <v>0</v>
      </c>
      <c r="C58" s="199">
        <f t="shared" si="16"/>
        <v>0</v>
      </c>
      <c r="D58" s="1162">
        <v>0.25</v>
      </c>
      <c r="E58" s="693"/>
      <c r="F58" s="1101">
        <f t="shared" si="15"/>
        <v>0</v>
      </c>
      <c r="G58" s="3191"/>
      <c r="H58" s="1102">
        <f>项目基本情况!B37</f>
        <v>0</v>
      </c>
      <c r="I58" s="1106">
        <f>SUMIF(修正!A45:A56,H58,修正!C45:C56)</f>
        <v>0</v>
      </c>
      <c r="J58" s="1110"/>
      <c r="K58" s="1143"/>
      <c r="L58" s="939"/>
      <c r="M58" s="939"/>
      <c r="N58" s="939"/>
      <c r="O58" s="939"/>
    </row>
    <row r="59" spans="1:15" s="691" customFormat="1">
      <c r="A59" s="692" t="s">
        <v>2761</v>
      </c>
      <c r="B59" s="261">
        <f t="shared" si="17"/>
        <v>0</v>
      </c>
      <c r="C59" s="199">
        <f t="shared" si="16"/>
        <v>0</v>
      </c>
      <c r="D59" s="1162">
        <v>0.25</v>
      </c>
      <c r="E59" s="693"/>
      <c r="F59" s="1101">
        <f t="shared" si="15"/>
        <v>0</v>
      </c>
      <c r="G59" s="3191"/>
      <c r="H59" s="1102">
        <f>项目基本情况!B37</f>
        <v>0</v>
      </c>
      <c r="I59" s="1106">
        <f>SUMIF(修正!A45:A56,H59,修正!D45:D56)</f>
        <v>0</v>
      </c>
      <c r="J59" s="1110"/>
      <c r="K59" s="1142"/>
      <c r="L59" s="939"/>
      <c r="M59" s="939"/>
      <c r="N59" s="939"/>
      <c r="O59" s="939"/>
    </row>
    <row r="60" spans="1:15" s="691" customFormat="1">
      <c r="A60" s="692" t="s">
        <v>2762</v>
      </c>
      <c r="B60" s="261">
        <f t="shared" si="17"/>
        <v>0</v>
      </c>
      <c r="C60" s="199">
        <f t="shared" si="16"/>
        <v>0</v>
      </c>
      <c r="D60" s="1162">
        <v>0.25</v>
      </c>
      <c r="E60" s="693"/>
      <c r="F60" s="1101">
        <f t="shared" si="15"/>
        <v>0</v>
      </c>
      <c r="G60" s="3191"/>
      <c r="H60" s="1102">
        <f>项目基本情况!B37</f>
        <v>0</v>
      </c>
      <c r="I60" s="1106">
        <f>SUMIF(修正!A45:A56,H60,修正!E45:E56)</f>
        <v>0</v>
      </c>
      <c r="J60" s="1110"/>
      <c r="K60" s="1143"/>
      <c r="L60" s="939"/>
      <c r="M60" s="939"/>
      <c r="N60" s="939"/>
      <c r="O60" s="939"/>
    </row>
    <row r="61" spans="1:15" s="691" customFormat="1">
      <c r="A61" s="692" t="s">
        <v>2763</v>
      </c>
      <c r="B61" s="261">
        <f t="shared" si="17"/>
        <v>0</v>
      </c>
      <c r="C61" s="199">
        <f t="shared" si="16"/>
        <v>0</v>
      </c>
      <c r="D61" s="1162">
        <v>0.25</v>
      </c>
      <c r="E61" s="260">
        <f>'数据-汇总表'!E11</f>
        <v>0</v>
      </c>
      <c r="F61" s="1101">
        <f t="shared" si="15"/>
        <v>0</v>
      </c>
      <c r="G61" s="2699" t="s">
        <v>2764</v>
      </c>
      <c r="H61" s="1102">
        <f>项目基本情况!C37</f>
        <v>0</v>
      </c>
      <c r="I61" s="1106">
        <f>SUMIF(修正!A45:A56,H61,修正!F45:F56)</f>
        <v>0</v>
      </c>
      <c r="J61" s="1110"/>
      <c r="K61" s="1142"/>
      <c r="L61" s="939"/>
      <c r="M61" s="939"/>
      <c r="N61" s="939"/>
      <c r="O61" s="939"/>
    </row>
    <row r="62" spans="1:15" s="691" customFormat="1">
      <c r="A62" s="692" t="s">
        <v>2765</v>
      </c>
      <c r="B62" s="261">
        <f t="shared" si="17"/>
        <v>0</v>
      </c>
      <c r="C62" s="199">
        <f t="shared" si="16"/>
        <v>0</v>
      </c>
      <c r="D62" s="1162">
        <v>0.25</v>
      </c>
      <c r="E62" s="260">
        <f>'数据-汇总表'!E12</f>
        <v>0</v>
      </c>
      <c r="F62" s="1101">
        <f t="shared" si="15"/>
        <v>0</v>
      </c>
      <c r="G62" s="1107" t="s">
        <v>2766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2767</v>
      </c>
      <c r="B63" s="261">
        <f t="shared" si="17"/>
        <v>0</v>
      </c>
      <c r="C63" s="199">
        <f t="shared" si="16"/>
        <v>0</v>
      </c>
      <c r="D63" s="1162">
        <v>0.25</v>
      </c>
      <c r="E63" s="260">
        <f>'数据-汇总表'!E13</f>
        <v>25234.94</v>
      </c>
      <c r="F63" s="1101">
        <f t="shared" si="15"/>
        <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2769</v>
      </c>
      <c r="B64" s="261">
        <f t="shared" si="17"/>
        <v>0</v>
      </c>
      <c r="C64" s="199">
        <f t="shared" si="16"/>
        <v>0</v>
      </c>
      <c r="D64" s="1162">
        <v>0.25</v>
      </c>
      <c r="E64" s="260">
        <f>'数据-汇总表'!E14</f>
        <v>0</v>
      </c>
      <c r="F64" s="1101">
        <f t="shared" si="15"/>
        <v>0</v>
      </c>
      <c r="G64" s="2699" t="s">
        <v>2759</v>
      </c>
      <c r="H64" s="1102">
        <f>项目基本情况!B37</f>
        <v>0</v>
      </c>
      <c r="I64" s="1106">
        <f>SUMIF(修正!A45:A56,H64,修正!H45:H56)</f>
        <v>0</v>
      </c>
      <c r="J64" s="1110"/>
      <c r="K64" s="1143"/>
      <c r="L64" s="939"/>
      <c r="M64" s="939"/>
      <c r="N64" s="939"/>
      <c r="O64" s="939"/>
    </row>
    <row r="65" spans="1:17" s="691" customFormat="1" ht="15" thickBot="1">
      <c r="A65" s="692" t="s">
        <v>2770</v>
      </c>
      <c r="B65" s="261">
        <f t="shared" si="17"/>
        <v>0</v>
      </c>
      <c r="C65" s="199">
        <f t="shared" si="16"/>
        <v>0</v>
      </c>
      <c r="D65" s="1162">
        <v>0.25</v>
      </c>
      <c r="E65" s="260">
        <f>'数据-汇总表'!E15</f>
        <v>0</v>
      </c>
      <c r="F65" s="1101">
        <f t="shared" si="15"/>
        <v>0</v>
      </c>
      <c r="G65" s="2700" t="s">
        <v>2764</v>
      </c>
      <c r="H65" s="1112">
        <f>项目基本情况!C37</f>
        <v>0</v>
      </c>
      <c r="I65" s="1108">
        <f>SUMIF(修正!A45:A56,H65,修正!H45:H56)</f>
        <v>0</v>
      </c>
      <c r="J65" s="1111"/>
      <c r="K65" s="1142"/>
      <c r="L65" s="939"/>
      <c r="M65" s="939"/>
      <c r="N65" s="939"/>
      <c r="O65" s="939"/>
    </row>
    <row r="66" spans="1:17" s="691" customFormat="1" ht="13.5" thickBot="1">
      <c r="A66" s="694" t="s">
        <v>2771</v>
      </c>
      <c r="B66" s="695" t="s">
        <v>28</v>
      </c>
      <c r="C66" s="695" t="s">
        <v>29</v>
      </c>
      <c r="D66" s="695" t="s">
        <v>1029</v>
      </c>
      <c r="E66" s="695">
        <f>IF(B46="楼面地价",SUM(E56:E65),'数据-汇总表'!D3)</f>
        <v>131159.98000000001</v>
      </c>
      <c r="F66" s="696">
        <f>IF(B46="楼面地价",SUM(F56:F65),ROUND(C48*E66/10000,0))</f>
        <v>63354</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2666</v>
      </c>
      <c r="B69" s="758"/>
      <c r="C69" s="763"/>
      <c r="D69" s="763"/>
      <c r="E69" s="763"/>
      <c r="F69" s="764"/>
      <c r="G69" s="764"/>
      <c r="H69" s="763"/>
      <c r="I69" s="763"/>
      <c r="J69" s="1157"/>
      <c r="K69" s="1158"/>
      <c r="L69" s="1159"/>
      <c r="M69" s="1157"/>
      <c r="N69" s="1157"/>
      <c r="O69" s="1157"/>
      <c r="P69" s="502"/>
      <c r="Q69" s="503"/>
    </row>
    <row r="70" spans="1:17" s="507" customFormat="1" ht="15">
      <c r="A70" s="2701" t="s">
        <v>2772</v>
      </c>
      <c r="B70" s="1357"/>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6"/>
    </row>
    <row r="71" spans="1:17" s="116" customFormat="1" ht="30" customHeight="1">
      <c r="A71" s="2702" t="s">
        <v>2773</v>
      </c>
      <c r="B71" s="331" t="str">
        <f>"北京市平均增长率"&amp;TEXT(SUMIF(基准地价修正!N21:N25,A71,基准地价修正!P21:P25),"0.00%")</f>
        <v>北京市平均增长率2.41%</v>
      </c>
      <c r="C71" s="602">
        <v>100</v>
      </c>
      <c r="D71" s="594">
        <f>C71-$C$72</f>
        <v>98</v>
      </c>
      <c r="E71" s="594">
        <f t="shared" ref="E71:O71" si="20">D71-$C$72</f>
        <v>96</v>
      </c>
      <c r="F71" s="594">
        <f t="shared" si="20"/>
        <v>94</v>
      </c>
      <c r="G71" s="594">
        <f t="shared" si="20"/>
        <v>92</v>
      </c>
      <c r="H71" s="594">
        <f t="shared" si="20"/>
        <v>90</v>
      </c>
      <c r="I71" s="594">
        <f t="shared" si="20"/>
        <v>88</v>
      </c>
      <c r="J71" s="594">
        <f t="shared" si="20"/>
        <v>86</v>
      </c>
      <c r="K71" s="594">
        <f t="shared" si="20"/>
        <v>84</v>
      </c>
      <c r="L71" s="594">
        <f t="shared" si="20"/>
        <v>82</v>
      </c>
      <c r="M71" s="594">
        <f t="shared" si="20"/>
        <v>80</v>
      </c>
      <c r="N71" s="594">
        <f t="shared" si="20"/>
        <v>78</v>
      </c>
      <c r="O71" s="594">
        <f t="shared" si="20"/>
        <v>76</v>
      </c>
      <c r="P71" s="503"/>
    </row>
    <row r="72" spans="1:17" s="116" customFormat="1" ht="15.75" thickBot="1">
      <c r="A72" s="514" t="s">
        <v>2577</v>
      </c>
      <c r="B72" s="515"/>
      <c r="C72" s="516">
        <v>2</v>
      </c>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ht="28.5">
      <c r="A75" s="526" t="s">
        <v>2580</v>
      </c>
      <c r="B75" s="527" t="s">
        <v>2546</v>
      </c>
      <c r="C75" s="660" t="str">
        <f>项目基本情况!B16</f>
        <v>住宅、商业及地下车库</v>
      </c>
      <c r="D75" s="529" t="str">
        <f>土地案例!G6</f>
        <v>其他普通商品住房用地</v>
      </c>
      <c r="E75" s="529" t="str">
        <f>土地案例!G19</f>
        <v>城镇住宅用地</v>
      </c>
      <c r="F75" s="529"/>
      <c r="G75" s="529"/>
      <c r="H75" s="529"/>
      <c r="I75" s="529"/>
      <c r="J75" s="529"/>
      <c r="K75" s="530"/>
      <c r="L75" s="531"/>
      <c r="M75" s="532"/>
      <c r="N75" s="1150"/>
      <c r="O75" s="1150"/>
      <c r="P75" s="45"/>
      <c r="Q75" s="503"/>
    </row>
    <row r="76" spans="1:17" ht="15.75" thickBot="1">
      <c r="A76" s="533"/>
      <c r="B76" s="534"/>
      <c r="C76" s="535">
        <v>100</v>
      </c>
      <c r="D76" s="535">
        <v>100</v>
      </c>
      <c r="E76" s="535">
        <v>100</v>
      </c>
      <c r="F76" s="535"/>
      <c r="G76" s="535"/>
      <c r="H76" s="535"/>
      <c r="I76" s="535"/>
      <c r="J76" s="535"/>
      <c r="K76" s="535"/>
      <c r="L76" s="535"/>
      <c r="M76" s="536"/>
      <c r="N76" s="1151"/>
      <c r="O76" s="1151"/>
      <c r="P76" s="45"/>
      <c r="Q76" s="503"/>
    </row>
    <row r="77" spans="1:17" ht="27.75" thickTop="1">
      <c r="A77" s="533"/>
      <c r="B77" s="537" t="s">
        <v>2549</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2550</v>
      </c>
      <c r="C79" s="546" t="str">
        <f>C80&amp;"（含）"&amp;"-"&amp;D80</f>
        <v>2.5（含）-3</v>
      </c>
      <c r="D79" s="546" t="str">
        <f t="shared" ref="D79:L79" si="21">D80&amp;"（含）"&amp;"-"&amp;E80</f>
        <v>3（含）-3.5</v>
      </c>
      <c r="E79" s="546" t="str">
        <f t="shared" si="21"/>
        <v>3.5（含）-4</v>
      </c>
      <c r="F79" s="546" t="str">
        <f t="shared" si="21"/>
        <v>4（含）-4.5</v>
      </c>
      <c r="G79" s="546" t="str">
        <f t="shared" si="21"/>
        <v>4.5（含）-5</v>
      </c>
      <c r="H79" s="546" t="str">
        <f t="shared" si="21"/>
        <v>5（含）-5.5</v>
      </c>
      <c r="I79" s="546" t="str">
        <f t="shared" si="21"/>
        <v>5.5（含）-6</v>
      </c>
      <c r="J79" s="546" t="str">
        <f t="shared" si="21"/>
        <v>6（含）-6.5</v>
      </c>
      <c r="K79" s="546" t="str">
        <f t="shared" si="21"/>
        <v>6.5（含）-7</v>
      </c>
      <c r="L79" s="546" t="str">
        <f t="shared" si="21"/>
        <v>7（含）-7.5</v>
      </c>
      <c r="M79" s="447" t="str">
        <f>M80&amp;"（含）"&amp;"-"&amp;P80</f>
        <v>7.5（含）-</v>
      </c>
      <c r="N79" s="1151"/>
      <c r="O79" s="1151"/>
      <c r="P79" s="45"/>
      <c r="Q79" s="503"/>
    </row>
    <row r="80" spans="1:17" ht="15">
      <c r="A80" s="533"/>
      <c r="B80" s="547"/>
      <c r="C80" s="548">
        <v>2.5</v>
      </c>
      <c r="D80" s="548">
        <f>C80+0.5</f>
        <v>3</v>
      </c>
      <c r="E80" s="548">
        <f t="shared" ref="E80:M80" si="22">D80+0.5</f>
        <v>3.5</v>
      </c>
      <c r="F80" s="548">
        <f t="shared" si="22"/>
        <v>4</v>
      </c>
      <c r="G80" s="548">
        <f t="shared" si="22"/>
        <v>4.5</v>
      </c>
      <c r="H80" s="548">
        <f t="shared" si="22"/>
        <v>5</v>
      </c>
      <c r="I80" s="548">
        <f t="shared" si="22"/>
        <v>5.5</v>
      </c>
      <c r="J80" s="548">
        <f t="shared" si="22"/>
        <v>6</v>
      </c>
      <c r="K80" s="548">
        <f t="shared" si="22"/>
        <v>6.5</v>
      </c>
      <c r="L80" s="548">
        <f t="shared" si="22"/>
        <v>7</v>
      </c>
      <c r="M80" s="548">
        <f t="shared" si="22"/>
        <v>7.5</v>
      </c>
      <c r="N80" s="1150"/>
      <c r="O80" s="1150"/>
      <c r="P80" s="45"/>
      <c r="Q80" s="503"/>
    </row>
    <row r="81" spans="1:17" ht="15.75" thickBot="1">
      <c r="A81" s="533"/>
      <c r="B81" s="534"/>
      <c r="C81" s="543">
        <v>100</v>
      </c>
      <c r="D81" s="543">
        <f t="shared" ref="D81:M81" si="23">IF($B$46="单位面积地价",C81+$K11,C81-$K11)</f>
        <v>97</v>
      </c>
      <c r="E81" s="543">
        <f t="shared" si="23"/>
        <v>94</v>
      </c>
      <c r="F81" s="543">
        <f t="shared" si="23"/>
        <v>91</v>
      </c>
      <c r="G81" s="543">
        <f t="shared" si="23"/>
        <v>88</v>
      </c>
      <c r="H81" s="543">
        <f t="shared" si="23"/>
        <v>85</v>
      </c>
      <c r="I81" s="543">
        <f t="shared" si="23"/>
        <v>82</v>
      </c>
      <c r="J81" s="543">
        <f t="shared" si="23"/>
        <v>79</v>
      </c>
      <c r="K81" s="543">
        <f t="shared" si="23"/>
        <v>76</v>
      </c>
      <c r="L81" s="543">
        <f t="shared" si="23"/>
        <v>73</v>
      </c>
      <c r="M81" s="543">
        <f t="shared" si="23"/>
        <v>70</v>
      </c>
      <c r="N81" s="1151"/>
      <c r="O81" s="1151"/>
      <c r="P81" s="45"/>
      <c r="Q81" s="503"/>
    </row>
    <row r="82" spans="1:17" s="470" customFormat="1" ht="15.75" hidden="1" thickTop="1">
      <c r="A82" s="552"/>
      <c r="B82" s="537">
        <f>B12</f>
        <v>0</v>
      </c>
      <c r="C82" s="553"/>
      <c r="D82" s="553"/>
      <c r="E82" s="553"/>
      <c r="F82" s="553"/>
      <c r="G82" s="553"/>
      <c r="H82" s="554"/>
      <c r="I82" s="554"/>
      <c r="J82" s="554"/>
      <c r="K82" s="554"/>
      <c r="L82" s="555"/>
      <c r="M82" s="556"/>
      <c r="N82" s="1152"/>
      <c r="O82" s="1152"/>
      <c r="P82" s="557"/>
      <c r="Q82" s="558"/>
    </row>
    <row r="83" spans="1:17" s="470" customFormat="1" ht="15.75" hidden="1" thickBot="1">
      <c r="A83" s="552"/>
      <c r="B83" s="542"/>
      <c r="C83" s="559"/>
      <c r="D83" s="535"/>
      <c r="E83" s="535"/>
      <c r="F83" s="535"/>
      <c r="G83" s="535"/>
      <c r="H83" s="535"/>
      <c r="I83" s="535"/>
      <c r="J83" s="535"/>
      <c r="K83" s="535"/>
      <c r="L83" s="535"/>
      <c r="M83" s="536"/>
      <c r="N83" s="1151"/>
      <c r="O83" s="1151"/>
      <c r="P83" s="557"/>
      <c r="Q83" s="558"/>
    </row>
    <row r="84" spans="1:17" s="470" customFormat="1" ht="15.75" hidden="1" thickTop="1">
      <c r="A84" s="552"/>
      <c r="B84" s="537">
        <f>B13</f>
        <v>0</v>
      </c>
      <c r="C84" s="553"/>
      <c r="D84" s="553"/>
      <c r="E84" s="553"/>
      <c r="F84" s="553"/>
      <c r="G84" s="553"/>
      <c r="H84" s="554"/>
      <c r="I84" s="554"/>
      <c r="J84" s="554"/>
      <c r="K84" s="554"/>
      <c r="L84" s="555"/>
      <c r="M84" s="556"/>
      <c r="N84" s="1152"/>
      <c r="O84" s="1152"/>
      <c r="P84" s="469"/>
      <c r="Q84" s="560"/>
    </row>
    <row r="85" spans="1:17" s="470" customFormat="1" ht="15.75" hidden="1" thickBot="1">
      <c r="A85" s="552"/>
      <c r="B85" s="542"/>
      <c r="C85" s="559"/>
      <c r="D85" s="559"/>
      <c r="E85" s="559"/>
      <c r="F85" s="559"/>
      <c r="G85" s="559"/>
      <c r="H85" s="561"/>
      <c r="I85" s="561"/>
      <c r="J85" s="561"/>
      <c r="K85" s="561"/>
      <c r="L85" s="561"/>
      <c r="M85" s="562"/>
      <c r="N85" s="1152"/>
      <c r="O85" s="1152"/>
      <c r="P85" s="557"/>
      <c r="Q85" s="558"/>
    </row>
    <row r="86" spans="1:17" s="470" customFormat="1" ht="15.75" hidden="1" thickTop="1">
      <c r="A86" s="552"/>
      <c r="B86" s="545">
        <f>B14</f>
        <v>0</v>
      </c>
      <c r="C86" s="522"/>
      <c r="D86" s="522"/>
      <c r="E86" s="522"/>
      <c r="F86" s="522"/>
      <c r="G86" s="522"/>
      <c r="H86" s="563"/>
      <c r="I86" s="563"/>
      <c r="J86" s="563"/>
      <c r="K86" s="563"/>
      <c r="L86" s="564"/>
      <c r="M86" s="565"/>
      <c r="N86" s="1152"/>
      <c r="O86" s="1152"/>
      <c r="P86" s="566"/>
      <c r="Q86" s="558"/>
    </row>
    <row r="87" spans="1:17" s="470" customFormat="1" ht="15.75" hidden="1" thickBot="1">
      <c r="A87" s="567"/>
      <c r="B87" s="568"/>
      <c r="C87" s="569"/>
      <c r="D87" s="569"/>
      <c r="E87" s="569"/>
      <c r="F87" s="569"/>
      <c r="G87" s="569"/>
      <c r="H87" s="570"/>
      <c r="I87" s="570"/>
      <c r="J87" s="570"/>
      <c r="K87" s="570"/>
      <c r="L87" s="570"/>
      <c r="M87" s="571"/>
      <c r="N87" s="1152"/>
      <c r="O87" s="1152"/>
      <c r="P87" s="557"/>
      <c r="Q87" s="558"/>
    </row>
    <row r="88" spans="1:17" ht="15" thickTop="1">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2774</v>
      </c>
      <c r="C90" s="577" t="s">
        <v>2589</v>
      </c>
      <c r="D90" s="577" t="s">
        <v>2590</v>
      </c>
      <c r="E90" s="577" t="s">
        <v>2591</v>
      </c>
      <c r="F90" s="577" t="s">
        <v>2592</v>
      </c>
      <c r="G90" s="577" t="s">
        <v>2593</v>
      </c>
      <c r="H90" s="538"/>
      <c r="I90" s="538"/>
      <c r="J90" s="538"/>
      <c r="K90" s="539"/>
      <c r="L90" s="540"/>
      <c r="M90" s="541"/>
      <c r="N90" s="1150"/>
      <c r="O90" s="1150"/>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2775</v>
      </c>
      <c r="C96" s="577" t="s">
        <v>2589</v>
      </c>
      <c r="D96" s="577" t="s">
        <v>2590</v>
      </c>
      <c r="E96" s="577" t="s">
        <v>2591</v>
      </c>
      <c r="F96" s="577" t="s">
        <v>2592</v>
      </c>
      <c r="G96" s="577" t="s">
        <v>2593</v>
      </c>
      <c r="H96" s="577"/>
      <c r="I96" s="577"/>
      <c r="J96" s="577"/>
      <c r="K96" s="577"/>
      <c r="L96" s="697"/>
      <c r="M96" s="621"/>
      <c r="N96" s="1149"/>
      <c r="O96" s="1149"/>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6" customFormat="1" ht="27.75" thickTop="1">
      <c r="A98" s="578"/>
      <c r="B98" s="537" t="s">
        <v>2776</v>
      </c>
      <c r="C98" s="572" t="s">
        <v>2589</v>
      </c>
      <c r="D98" s="572" t="s">
        <v>2590</v>
      </c>
      <c r="E98" s="572" t="s">
        <v>2591</v>
      </c>
      <c r="F98" s="572" t="s">
        <v>2592</v>
      </c>
      <c r="G98" s="572" t="s">
        <v>2593</v>
      </c>
      <c r="H98" s="577"/>
      <c r="I98" s="577"/>
      <c r="J98" s="577"/>
      <c r="K98" s="577"/>
      <c r="L98" s="577"/>
      <c r="M98" s="621"/>
      <c r="N98" s="1149"/>
      <c r="O98" s="1149"/>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51"/>
      <c r="O99" s="1151"/>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2"/>
      <c r="O101" s="1152"/>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hidden="1" thickTop="1">
      <c r="A104" s="533"/>
      <c r="B104" s="537" t="str">
        <f>B31</f>
        <v>临街状况</v>
      </c>
      <c r="C104" s="538" t="s">
        <v>2777</v>
      </c>
      <c r="D104" s="538" t="s">
        <v>2778</v>
      </c>
      <c r="E104" s="538" t="s">
        <v>2779</v>
      </c>
      <c r="F104" s="538" t="s">
        <v>2780</v>
      </c>
      <c r="G104" s="538"/>
      <c r="H104" s="538"/>
      <c r="I104" s="538"/>
      <c r="J104" s="538"/>
      <c r="K104" s="539"/>
      <c r="L104" s="540"/>
      <c r="M104" s="541"/>
      <c r="N104" s="1150"/>
      <c r="O104" s="1150"/>
      <c r="P104" s="45"/>
      <c r="Q104" s="503"/>
    </row>
    <row r="105" spans="1:17" ht="15.75" hidden="1"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51"/>
      <c r="O105" s="1151"/>
      <c r="P105" s="45"/>
      <c r="Q105" s="503"/>
    </row>
    <row r="106" spans="1:17" ht="27.75" thickTop="1">
      <c r="A106" s="533"/>
      <c r="B106" s="537" t="s">
        <v>2683</v>
      </c>
      <c r="C106" s="2959" t="s">
        <v>3364</v>
      </c>
      <c r="D106" s="2959" t="s">
        <v>3365</v>
      </c>
      <c r="E106" s="2959" t="s">
        <v>3366</v>
      </c>
      <c r="F106" s="2959" t="s">
        <v>3367</v>
      </c>
      <c r="G106" s="2959" t="s">
        <v>3369</v>
      </c>
      <c r="H106" s="582"/>
      <c r="I106" s="582"/>
      <c r="J106" s="582"/>
      <c r="K106" s="583"/>
      <c r="L106" s="584"/>
      <c r="M106" s="585"/>
      <c r="N106" s="1150"/>
      <c r="O106" s="1150"/>
      <c r="P106" s="45"/>
      <c r="Q106" s="503"/>
    </row>
    <row r="107" spans="1:17" ht="15.75" thickBot="1">
      <c r="A107" s="533"/>
      <c r="B107" s="542"/>
      <c r="C107" s="543">
        <v>100</v>
      </c>
      <c r="D107" s="543">
        <f>C107-$K32</f>
        <v>98</v>
      </c>
      <c r="E107" s="543">
        <f t="shared" ref="E107:M107" si="25">D107-$K32</f>
        <v>96</v>
      </c>
      <c r="F107" s="543">
        <f t="shared" si="25"/>
        <v>94</v>
      </c>
      <c r="G107" s="543">
        <f t="shared" si="25"/>
        <v>92</v>
      </c>
      <c r="H107" s="543">
        <f t="shared" si="25"/>
        <v>90</v>
      </c>
      <c r="I107" s="543">
        <f t="shared" si="25"/>
        <v>88</v>
      </c>
      <c r="J107" s="543">
        <f t="shared" si="25"/>
        <v>86</v>
      </c>
      <c r="K107" s="543">
        <f t="shared" si="25"/>
        <v>84</v>
      </c>
      <c r="L107" s="543">
        <f t="shared" si="25"/>
        <v>82</v>
      </c>
      <c r="M107" s="543">
        <f t="shared" si="25"/>
        <v>80</v>
      </c>
      <c r="N107" s="1151"/>
      <c r="O107" s="1151"/>
      <c r="P107" s="45"/>
      <c r="Q107" s="503"/>
    </row>
    <row r="108" spans="1:17" ht="15.75" hidden="1" thickTop="1">
      <c r="A108" s="533"/>
      <c r="B108" s="537" t="s">
        <v>2741</v>
      </c>
      <c r="C108" s="582"/>
      <c r="D108" s="582"/>
      <c r="E108" s="582"/>
      <c r="F108" s="582"/>
      <c r="G108" s="582"/>
      <c r="H108" s="582"/>
      <c r="I108" s="582"/>
      <c r="J108" s="582"/>
      <c r="K108" s="583"/>
      <c r="L108" s="584"/>
      <c r="M108" s="585"/>
      <c r="N108" s="1150"/>
      <c r="O108" s="1150"/>
      <c r="P108" s="45"/>
      <c r="Q108" s="503"/>
    </row>
    <row r="109" spans="1:17" ht="15.75" hidden="1"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1"/>
      <c r="O109" s="1151"/>
      <c r="P109" s="45"/>
      <c r="Q109" s="503"/>
    </row>
    <row r="110" spans="1:17" ht="15.75" hidden="1" thickTop="1">
      <c r="A110" s="533"/>
      <c r="B110" s="545">
        <f>B35</f>
        <v>0</v>
      </c>
      <c r="C110" s="553"/>
      <c r="D110" s="553"/>
      <c r="E110" s="553"/>
      <c r="F110" s="553"/>
      <c r="G110" s="586"/>
      <c r="H110" s="586"/>
      <c r="I110" s="586"/>
      <c r="J110" s="586"/>
      <c r="K110" s="587"/>
      <c r="L110" s="588"/>
      <c r="M110" s="589"/>
      <c r="N110" s="1150"/>
      <c r="O110" s="1150"/>
      <c r="P110" s="45"/>
      <c r="Q110" s="503"/>
    </row>
    <row r="111" spans="1:17" ht="15.75" hidden="1" thickBot="1">
      <c r="A111" s="533"/>
      <c r="B111" s="568"/>
      <c r="C111" s="559"/>
      <c r="D111" s="559"/>
      <c r="E111" s="559"/>
      <c r="F111" s="559"/>
      <c r="G111" s="590"/>
      <c r="H111" s="590"/>
      <c r="I111" s="590"/>
      <c r="J111" s="590"/>
      <c r="K111" s="590"/>
      <c r="L111" s="590"/>
      <c r="M111" s="591"/>
      <c r="N111" s="1151"/>
      <c r="O111" s="1151"/>
      <c r="P111" s="45"/>
      <c r="Q111" s="503"/>
    </row>
    <row r="112" spans="1:17" ht="15" hidden="1" thickTop="1">
      <c r="A112" s="674"/>
      <c r="B112" s="537">
        <f>B36</f>
        <v>0</v>
      </c>
      <c r="C112" s="522"/>
      <c r="D112" s="522"/>
      <c r="E112" s="522"/>
      <c r="F112" s="522"/>
      <c r="G112" s="582"/>
      <c r="H112" s="582"/>
      <c r="I112" s="582"/>
      <c r="J112" s="582"/>
      <c r="K112" s="583"/>
      <c r="L112" s="584"/>
      <c r="M112" s="585"/>
      <c r="N112" s="1150"/>
      <c r="O112" s="1150"/>
      <c r="P112" s="45"/>
      <c r="Q112" s="503"/>
    </row>
    <row r="113" spans="1:17" ht="15.75" hidden="1" thickBot="1">
      <c r="A113" s="533"/>
      <c r="B113" s="542"/>
      <c r="C113" s="569"/>
      <c r="D113" s="569"/>
      <c r="E113" s="569"/>
      <c r="F113" s="569"/>
      <c r="G113" s="535"/>
      <c r="H113" s="535"/>
      <c r="I113" s="535"/>
      <c r="J113" s="535"/>
      <c r="K113" s="535"/>
      <c r="L113" s="535"/>
      <c r="M113" s="536"/>
      <c r="N113" s="1151"/>
      <c r="O113" s="1151"/>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2"/>
      <c r="O114" s="1152"/>
      <c r="P114" s="557"/>
      <c r="Q114" s="558"/>
    </row>
    <row r="115" spans="1:17" s="470" customFormat="1" ht="15.75" hidden="1" thickBot="1">
      <c r="A115" s="552"/>
      <c r="B115" s="545"/>
      <c r="C115" s="511"/>
      <c r="D115" s="676"/>
      <c r="E115" s="676"/>
      <c r="F115" s="676"/>
      <c r="G115" s="676"/>
      <c r="H115" s="676"/>
      <c r="I115" s="676"/>
      <c r="J115" s="676"/>
      <c r="K115" s="676"/>
      <c r="L115" s="676"/>
      <c r="M115" s="698"/>
      <c r="N115" s="1151"/>
      <c r="O115" s="1151"/>
      <c r="P115" s="557"/>
      <c r="Q115" s="558"/>
    </row>
    <row r="116" spans="1:17" ht="15" thickTop="1">
      <c r="A116" s="526" t="s">
        <v>2555</v>
      </c>
      <c r="B116" s="527" t="s">
        <v>2781</v>
      </c>
      <c r="C116" s="528" t="str">
        <f>C117&amp;"(含)"&amp;"-"&amp;D117</f>
        <v>0(含)-</v>
      </c>
      <c r="D116" s="528" t="str">
        <f t="shared" ref="D116:M116" si="27">D117&amp;"(含)"&amp;"-"&amp;E117</f>
        <v>(含)-</v>
      </c>
      <c r="E116" s="528" t="str">
        <f t="shared" si="27"/>
        <v>(含)-</v>
      </c>
      <c r="F116" s="528" t="str">
        <f t="shared" si="27"/>
        <v>(含)-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50"/>
      <c r="O116" s="1150"/>
      <c r="P116" s="45"/>
      <c r="Q116" s="503"/>
    </row>
    <row r="117" spans="1:17" ht="15">
      <c r="A117" s="533"/>
      <c r="B117" s="545"/>
      <c r="C117" s="594">
        <v>0</v>
      </c>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2782</v>
      </c>
      <c r="C119" s="2960" t="s">
        <v>3371</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2783</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51"/>
      <c r="O122" s="1151"/>
      <c r="P122" s="45"/>
      <c r="Q122" s="503"/>
    </row>
    <row r="123" spans="1:17" s="470" customFormat="1" ht="15" thickTop="1">
      <c r="A123" s="592"/>
      <c r="B123" s="537" t="s">
        <v>2784</v>
      </c>
      <c r="C123" s="2959" t="s">
        <v>3373</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30">D124-$K41</f>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2"/>
      <c r="O124" s="1152"/>
      <c r="P124" s="557"/>
      <c r="Q124" s="558"/>
    </row>
    <row r="125" spans="1:17" ht="15" thickTop="1">
      <c r="A125" s="598"/>
      <c r="B125" s="537" t="s">
        <v>2785</v>
      </c>
      <c r="C125" s="2959" t="s">
        <v>3374</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hidden="1" thickTop="1">
      <c r="A127" s="598"/>
      <c r="B127" s="537">
        <f>B43</f>
        <v>0</v>
      </c>
      <c r="C127" s="553"/>
      <c r="D127" s="553"/>
      <c r="E127" s="553"/>
      <c r="F127" s="553"/>
      <c r="G127" s="553"/>
      <c r="H127" s="582"/>
      <c r="I127" s="582"/>
      <c r="J127" s="582"/>
      <c r="K127" s="583"/>
      <c r="L127" s="584"/>
      <c r="M127" s="585"/>
      <c r="N127" s="1150"/>
      <c r="O127" s="1150"/>
      <c r="P127" s="45"/>
      <c r="Q127" s="503"/>
    </row>
    <row r="128" spans="1:17" ht="15.75" hidden="1" thickBot="1">
      <c r="A128" s="533"/>
      <c r="B128" s="542"/>
      <c r="C128" s="559"/>
      <c r="D128" s="559"/>
      <c r="E128" s="559"/>
      <c r="F128" s="559"/>
      <c r="G128" s="535"/>
      <c r="H128" s="535"/>
      <c r="I128" s="535"/>
      <c r="J128" s="535"/>
      <c r="K128" s="535"/>
      <c r="L128" s="535"/>
      <c r="M128" s="536"/>
      <c r="N128" s="1151"/>
      <c r="O128" s="1151"/>
      <c r="P128" s="45"/>
      <c r="Q128" s="503"/>
    </row>
    <row r="129" spans="1:17" ht="15" hidden="1" thickTop="1">
      <c r="A129" s="598"/>
      <c r="B129" s="537">
        <f>B44</f>
        <v>0</v>
      </c>
      <c r="C129" s="522"/>
      <c r="D129" s="522"/>
      <c r="E129" s="522"/>
      <c r="F129" s="522"/>
      <c r="G129" s="582"/>
      <c r="H129" s="582"/>
      <c r="I129" s="582"/>
      <c r="J129" s="582"/>
      <c r="K129" s="583"/>
      <c r="L129" s="584"/>
      <c r="M129" s="585"/>
      <c r="N129" s="1150"/>
      <c r="O129" s="1150"/>
      <c r="P129" s="45"/>
      <c r="Q129" s="503"/>
    </row>
    <row r="130" spans="1:17" ht="15.75" hidden="1" thickBot="1">
      <c r="A130" s="533"/>
      <c r="B130" s="542"/>
      <c r="C130" s="569"/>
      <c r="D130" s="569"/>
      <c r="E130" s="569"/>
      <c r="F130" s="569"/>
      <c r="G130" s="535"/>
      <c r="H130" s="535"/>
      <c r="I130" s="535"/>
      <c r="J130" s="535"/>
      <c r="K130" s="535"/>
      <c r="L130" s="535"/>
      <c r="M130" s="536"/>
      <c r="N130" s="1151"/>
      <c r="O130" s="1151"/>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52"/>
      <c r="O131" s="1152"/>
      <c r="P131" s="557"/>
      <c r="Q131" s="558"/>
    </row>
    <row r="132" spans="1:17" s="470" customFormat="1" ht="15.75" hidden="1" thickBot="1">
      <c r="A132" s="567"/>
      <c r="B132" s="699"/>
      <c r="C132" s="569"/>
      <c r="D132" s="569"/>
      <c r="E132" s="569"/>
      <c r="F132" s="569"/>
      <c r="G132" s="590"/>
      <c r="H132" s="590"/>
      <c r="I132" s="590"/>
      <c r="J132" s="590"/>
      <c r="K132" s="590"/>
      <c r="L132" s="590"/>
      <c r="M132" s="591"/>
      <c r="N132" s="1152"/>
      <c r="O132" s="1152"/>
      <c r="P132" s="557"/>
      <c r="Q132" s="558"/>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T51"/>
  <sheetViews>
    <sheetView topLeftCell="L1" workbookViewId="0">
      <selection activeCell="M10" sqref="M10"/>
    </sheetView>
  </sheetViews>
  <sheetFormatPr defaultColWidth="8.875" defaultRowHeight="12.75"/>
  <cols>
    <col min="1" max="1" width="51.5" style="2962" customWidth="1"/>
    <col min="2" max="2" width="7.125" style="2962" hidden="1" customWidth="1"/>
    <col min="3" max="3" width="15.875" style="2962" hidden="1" customWidth="1"/>
    <col min="4" max="4" width="5.125" style="2962" hidden="1" customWidth="1"/>
    <col min="5" max="5" width="51.5" style="2962" hidden="1" customWidth="1"/>
    <col min="6" max="6" width="11.625" style="2962" customWidth="1"/>
    <col min="7" max="7" width="26.5" style="2962" customWidth="1"/>
    <col min="8" max="9" width="15.875" style="2962" customWidth="1"/>
    <col min="10" max="10" width="22.875" style="2962" customWidth="1"/>
    <col min="11" max="11" width="10.125" style="2962" customWidth="1"/>
    <col min="12" max="12" width="13.5" style="2962" customWidth="1"/>
    <col min="13" max="13" width="36.375" style="2962" customWidth="1"/>
    <col min="14" max="14" width="12.125" style="2962" customWidth="1"/>
    <col min="15" max="15" width="18.125" style="2962" customWidth="1"/>
    <col min="16" max="16" width="16.375" style="2962" customWidth="1"/>
    <col min="17" max="17" width="7.125" style="2962" customWidth="1"/>
    <col min="18" max="18" width="28.5" style="2962" customWidth="1"/>
    <col min="19" max="19" width="8.875" style="2962"/>
    <col min="20" max="16384" width="8.875" style="2957"/>
  </cols>
  <sheetData>
    <row r="1" spans="1:20">
      <c r="A1" s="2962" t="s">
        <v>3108</v>
      </c>
      <c r="B1" s="2962" t="s">
        <v>3109</v>
      </c>
      <c r="C1" s="2962" t="s">
        <v>3110</v>
      </c>
      <c r="D1" s="2962" t="s">
        <v>3111</v>
      </c>
      <c r="E1" s="2962" t="s">
        <v>3112</v>
      </c>
      <c r="F1" s="2962" t="s">
        <v>3113</v>
      </c>
      <c r="G1" s="2962" t="s">
        <v>3114</v>
      </c>
      <c r="H1" s="2962" t="s">
        <v>3115</v>
      </c>
      <c r="I1" s="2962" t="s">
        <v>3116</v>
      </c>
      <c r="J1" s="2962" t="s">
        <v>3117</v>
      </c>
      <c r="K1" s="2962" t="s">
        <v>3118</v>
      </c>
      <c r="L1" s="2962" t="s">
        <v>3119</v>
      </c>
      <c r="M1" s="2962" t="s">
        <v>3120</v>
      </c>
      <c r="N1" s="2962" t="s">
        <v>3121</v>
      </c>
      <c r="O1" s="2962" t="s">
        <v>3122</v>
      </c>
      <c r="P1" s="2962" t="s">
        <v>3123</v>
      </c>
      <c r="Q1" s="2962" t="s">
        <v>3124</v>
      </c>
      <c r="R1" s="2962" t="s">
        <v>3125</v>
      </c>
      <c r="S1" s="2963" t="s">
        <v>3379</v>
      </c>
    </row>
    <row r="2" spans="1:20">
      <c r="A2" s="2962" t="s">
        <v>3126</v>
      </c>
      <c r="B2" s="2962" t="s">
        <v>3127</v>
      </c>
      <c r="C2" s="2962" t="s">
        <v>3128</v>
      </c>
      <c r="D2" s="2962" t="s">
        <v>1331</v>
      </c>
      <c r="E2" s="2962" t="s">
        <v>3126</v>
      </c>
      <c r="F2" s="2962">
        <v>13</v>
      </c>
      <c r="G2" s="2962" t="s">
        <v>3129</v>
      </c>
      <c r="H2" s="2962">
        <v>9168.48</v>
      </c>
      <c r="I2" s="2962">
        <v>45842.400000000001</v>
      </c>
      <c r="J2" s="2962" t="s">
        <v>3130</v>
      </c>
      <c r="K2" s="2962" t="s">
        <v>3131</v>
      </c>
      <c r="L2" s="2962" t="s">
        <v>3132</v>
      </c>
      <c r="M2" s="2962" t="s">
        <v>3133</v>
      </c>
      <c r="N2" s="2962">
        <v>7706.1</v>
      </c>
      <c r="O2" s="2962">
        <v>560.33000000000004</v>
      </c>
      <c r="P2" s="2962">
        <v>1681</v>
      </c>
      <c r="Q2" s="2962">
        <v>36.56</v>
      </c>
      <c r="R2" s="2962" t="s">
        <v>3134</v>
      </c>
      <c r="S2" s="2962">
        <f>ROUND(N2*10000/H2,0)</f>
        <v>8405</v>
      </c>
    </row>
    <row r="3" spans="1:20">
      <c r="A3" s="2962" t="s">
        <v>3135</v>
      </c>
      <c r="B3" s="2962" t="s">
        <v>3127</v>
      </c>
      <c r="C3" s="2962" t="s">
        <v>3128</v>
      </c>
      <c r="D3" s="2962" t="s">
        <v>1331</v>
      </c>
      <c r="E3" s="2962" t="s">
        <v>3135</v>
      </c>
      <c r="F3" s="2962">
        <v>15</v>
      </c>
      <c r="G3" s="2962" t="s">
        <v>3136</v>
      </c>
      <c r="H3" s="2962">
        <v>31473.119999999999</v>
      </c>
      <c r="I3" s="2962">
        <v>180026.3</v>
      </c>
      <c r="J3" s="2962" t="s">
        <v>3137</v>
      </c>
      <c r="K3" s="2962" t="s">
        <v>3131</v>
      </c>
      <c r="L3" s="2962" t="s">
        <v>3138</v>
      </c>
      <c r="M3" s="2962" t="s">
        <v>3139</v>
      </c>
      <c r="N3" s="2962">
        <v>27526</v>
      </c>
      <c r="O3" s="2962">
        <v>583.05999999999995</v>
      </c>
      <c r="P3" s="2962">
        <v>1529</v>
      </c>
      <c r="Q3" s="2962">
        <v>147.01</v>
      </c>
      <c r="R3" s="2962" t="s">
        <v>3134</v>
      </c>
      <c r="S3" s="2962">
        <f t="shared" ref="S3:S51" si="0">ROUND(N3*10000/H3,0)</f>
        <v>8746</v>
      </c>
    </row>
    <row r="4" spans="1:20">
      <c r="A4" s="2962" t="s">
        <v>3126</v>
      </c>
      <c r="B4" s="2962" t="s">
        <v>3127</v>
      </c>
      <c r="C4" s="2962" t="s">
        <v>3128</v>
      </c>
      <c r="D4" s="2962" t="s">
        <v>1331</v>
      </c>
      <c r="E4" s="2962" t="s">
        <v>3126</v>
      </c>
      <c r="F4" s="2962">
        <v>14</v>
      </c>
      <c r="G4" s="2962" t="s">
        <v>3129</v>
      </c>
      <c r="H4" s="2962">
        <v>29223.83</v>
      </c>
      <c r="I4" s="2962">
        <v>160731.1</v>
      </c>
      <c r="J4" s="2962" t="s">
        <v>3140</v>
      </c>
      <c r="K4" s="2962" t="s">
        <v>3131</v>
      </c>
      <c r="L4" s="2962" t="s">
        <v>3141</v>
      </c>
      <c r="M4" s="2962" t="s">
        <v>3142</v>
      </c>
      <c r="N4" s="2962">
        <v>25202.63</v>
      </c>
      <c r="O4" s="2962">
        <v>574.92999999999995</v>
      </c>
      <c r="P4" s="2962">
        <v>1568</v>
      </c>
      <c r="Q4" s="2962">
        <v>36.590000000000003</v>
      </c>
      <c r="R4" s="2962" t="s">
        <v>3134</v>
      </c>
      <c r="S4" s="2962">
        <f t="shared" si="0"/>
        <v>8624</v>
      </c>
    </row>
    <row r="5" spans="1:20">
      <c r="A5" s="2962" t="s">
        <v>3143</v>
      </c>
      <c r="B5" s="2962" t="s">
        <v>3127</v>
      </c>
      <c r="C5" s="2962" t="s">
        <v>3144</v>
      </c>
      <c r="D5" s="2962" t="s">
        <v>1331</v>
      </c>
      <c r="E5" s="2962" t="s">
        <v>3143</v>
      </c>
      <c r="F5" s="2962">
        <v>11</v>
      </c>
      <c r="G5" s="2962" t="s">
        <v>3145</v>
      </c>
      <c r="H5" s="2962">
        <v>19236.900000000001</v>
      </c>
      <c r="I5" s="2962">
        <v>28855.35</v>
      </c>
      <c r="J5" s="2962" t="s">
        <v>3146</v>
      </c>
      <c r="K5" s="2962" t="s">
        <v>3147</v>
      </c>
      <c r="L5" s="2962" t="s">
        <v>3148</v>
      </c>
      <c r="M5" s="2962" t="s">
        <v>3149</v>
      </c>
      <c r="N5" s="2962">
        <v>11591.19</v>
      </c>
      <c r="O5" s="2962">
        <v>401.7</v>
      </c>
      <c r="P5" s="2962">
        <v>4017</v>
      </c>
      <c r="Q5" s="2962">
        <v>86.14</v>
      </c>
      <c r="R5" s="2962" t="s">
        <v>3150</v>
      </c>
      <c r="S5" s="2962">
        <f t="shared" si="0"/>
        <v>6025</v>
      </c>
    </row>
    <row r="6" spans="1:20" s="2958" customFormat="1">
      <c r="A6" s="2964" t="s">
        <v>3151</v>
      </c>
      <c r="B6" s="2964" t="s">
        <v>3127</v>
      </c>
      <c r="C6" s="2964" t="s">
        <v>3144</v>
      </c>
      <c r="D6" s="2964" t="s">
        <v>1331</v>
      </c>
      <c r="E6" s="2964" t="s">
        <v>3151</v>
      </c>
      <c r="F6" s="2964">
        <v>4</v>
      </c>
      <c r="G6" s="2964" t="s">
        <v>3145</v>
      </c>
      <c r="H6" s="2964">
        <v>138656.70000000001</v>
      </c>
      <c r="I6" s="2964">
        <v>388238.8</v>
      </c>
      <c r="J6" s="2964" t="s">
        <v>3152</v>
      </c>
      <c r="K6" s="2964" t="s">
        <v>3147</v>
      </c>
      <c r="L6" s="2964" t="s">
        <v>3153</v>
      </c>
      <c r="M6" s="2968" t="s">
        <v>3405</v>
      </c>
      <c r="N6" s="2964">
        <v>165539.20000000001</v>
      </c>
      <c r="O6" s="2964">
        <v>795.92</v>
      </c>
      <c r="P6" s="2964">
        <v>4263.8500000000004</v>
      </c>
      <c r="Q6" s="2964">
        <v>4.42</v>
      </c>
      <c r="R6" s="2964" t="s">
        <v>3150</v>
      </c>
      <c r="S6" s="2964">
        <f t="shared" si="0"/>
        <v>11939</v>
      </c>
      <c r="T6" s="2958" t="s">
        <v>3407</v>
      </c>
    </row>
    <row r="7" spans="1:20" s="2958" customFormat="1">
      <c r="A7" s="2964" t="s">
        <v>3151</v>
      </c>
      <c r="B7" s="2964" t="s">
        <v>3127</v>
      </c>
      <c r="C7" s="2964" t="s">
        <v>3144</v>
      </c>
      <c r="D7" s="2964" t="s">
        <v>1331</v>
      </c>
      <c r="E7" s="2964" t="s">
        <v>3151</v>
      </c>
      <c r="F7" s="2964">
        <v>3</v>
      </c>
      <c r="G7" s="2964" t="s">
        <v>3145</v>
      </c>
      <c r="H7" s="2964">
        <v>49043</v>
      </c>
      <c r="I7" s="2964">
        <v>122607.5</v>
      </c>
      <c r="J7" s="2964" t="s">
        <v>3155</v>
      </c>
      <c r="K7" s="2964" t="s">
        <v>3147</v>
      </c>
      <c r="L7" s="2964" t="s">
        <v>3156</v>
      </c>
      <c r="M7" s="2964" t="s">
        <v>3154</v>
      </c>
      <c r="N7" s="2964">
        <v>56065.01</v>
      </c>
      <c r="O7" s="2964">
        <v>762.12</v>
      </c>
      <c r="P7" s="2964">
        <v>4572.72</v>
      </c>
      <c r="Q7" s="2964">
        <v>11.98</v>
      </c>
      <c r="R7" s="2964" t="s">
        <v>3150</v>
      </c>
      <c r="S7" s="2964">
        <f t="shared" si="0"/>
        <v>11432</v>
      </c>
    </row>
    <row r="8" spans="1:20">
      <c r="A8" s="2962" t="s">
        <v>3157</v>
      </c>
      <c r="B8" s="2962" t="s">
        <v>3127</v>
      </c>
      <c r="C8" s="2962" t="s">
        <v>3144</v>
      </c>
      <c r="D8" s="2962" t="s">
        <v>1331</v>
      </c>
      <c r="E8" s="2962" t="s">
        <v>3157</v>
      </c>
      <c r="F8" s="2962">
        <v>10</v>
      </c>
      <c r="G8" s="2962" t="s">
        <v>3145</v>
      </c>
      <c r="H8" s="2962">
        <v>53929.16</v>
      </c>
      <c r="I8" s="2962">
        <v>102465.4</v>
      </c>
      <c r="J8" s="2962" t="s">
        <v>3158</v>
      </c>
      <c r="K8" s="2962" t="s">
        <v>3147</v>
      </c>
      <c r="L8" s="2962" t="s">
        <v>3159</v>
      </c>
      <c r="M8" s="2962" t="s">
        <v>3149</v>
      </c>
      <c r="N8" s="2962">
        <v>30842.09</v>
      </c>
      <c r="O8" s="2962">
        <v>381.27</v>
      </c>
      <c r="P8" s="2962">
        <v>3010</v>
      </c>
      <c r="Q8" s="2962">
        <v>150.83000000000001</v>
      </c>
      <c r="R8" s="2962" t="s">
        <v>3150</v>
      </c>
      <c r="S8" s="2962">
        <f t="shared" si="0"/>
        <v>5719</v>
      </c>
    </row>
    <row r="9" spans="1:20">
      <c r="A9" s="2962" t="s">
        <v>3143</v>
      </c>
      <c r="B9" s="2962" t="s">
        <v>3127</v>
      </c>
      <c r="C9" s="2962" t="s">
        <v>3144</v>
      </c>
      <c r="D9" s="2962" t="s">
        <v>1331</v>
      </c>
      <c r="E9" s="2962" t="s">
        <v>3143</v>
      </c>
      <c r="F9" s="2962">
        <v>9</v>
      </c>
      <c r="G9" s="2962" t="s">
        <v>3145</v>
      </c>
      <c r="H9" s="2962">
        <v>28981.53</v>
      </c>
      <c r="I9" s="2962">
        <v>43472.29</v>
      </c>
      <c r="J9" s="2962" t="s">
        <v>3146</v>
      </c>
      <c r="K9" s="2962" t="s">
        <v>3147</v>
      </c>
      <c r="L9" s="2962" t="s">
        <v>3160</v>
      </c>
      <c r="M9" s="2962" t="s">
        <v>3161</v>
      </c>
      <c r="N9" s="2962">
        <v>17462.810000000001</v>
      </c>
      <c r="O9" s="2962">
        <v>401.7</v>
      </c>
      <c r="P9" s="2962">
        <v>4017</v>
      </c>
      <c r="Q9" s="2962">
        <v>86.14</v>
      </c>
      <c r="R9" s="2962" t="s">
        <v>3150</v>
      </c>
      <c r="S9" s="2962">
        <f t="shared" si="0"/>
        <v>6025</v>
      </c>
    </row>
    <row r="10" spans="1:20">
      <c r="A10" s="2962" t="s">
        <v>3143</v>
      </c>
      <c r="B10" s="2962" t="s">
        <v>3127</v>
      </c>
      <c r="C10" s="2962" t="s">
        <v>3144</v>
      </c>
      <c r="D10" s="2962" t="s">
        <v>1331</v>
      </c>
      <c r="E10" s="2962" t="s">
        <v>3143</v>
      </c>
      <c r="F10" s="2962">
        <v>8</v>
      </c>
      <c r="G10" s="2962" t="s">
        <v>3145</v>
      </c>
      <c r="H10" s="2962">
        <v>25379.29</v>
      </c>
      <c r="I10" s="2962">
        <v>38068.93</v>
      </c>
      <c r="J10" s="2962" t="s">
        <v>3146</v>
      </c>
      <c r="K10" s="2962" t="s">
        <v>3147</v>
      </c>
      <c r="L10" s="2962" t="s">
        <v>3162</v>
      </c>
      <c r="M10" s="2962" t="s">
        <v>3163</v>
      </c>
      <c r="N10" s="2962">
        <v>15292.29</v>
      </c>
      <c r="O10" s="2962">
        <v>401.7</v>
      </c>
      <c r="P10" s="2962">
        <v>4017</v>
      </c>
      <c r="Q10" s="2962">
        <v>86.14</v>
      </c>
      <c r="R10" s="2962" t="s">
        <v>3150</v>
      </c>
      <c r="S10" s="2962">
        <f t="shared" si="0"/>
        <v>6025</v>
      </c>
    </row>
    <row r="11" spans="1:20">
      <c r="A11" s="2962" t="s">
        <v>3164</v>
      </c>
      <c r="B11" s="2962" t="s">
        <v>3127</v>
      </c>
      <c r="C11" s="2962" t="s">
        <v>3144</v>
      </c>
      <c r="D11" s="2962" t="s">
        <v>1331</v>
      </c>
      <c r="E11" s="2962" t="s">
        <v>3164</v>
      </c>
      <c r="F11" s="2962">
        <v>10</v>
      </c>
      <c r="G11" s="2962" t="s">
        <v>3145</v>
      </c>
      <c r="H11" s="2962">
        <v>18626.39</v>
      </c>
      <c r="I11" s="2962">
        <v>55879.17</v>
      </c>
      <c r="J11" s="2962" t="s">
        <v>3165</v>
      </c>
      <c r="K11" s="2962" t="s">
        <v>3166</v>
      </c>
      <c r="L11" s="2962" t="s">
        <v>3167</v>
      </c>
      <c r="M11" s="2962" t="s">
        <v>3168</v>
      </c>
      <c r="N11" s="2962">
        <v>7873.38</v>
      </c>
      <c r="O11" s="2962">
        <v>281.8</v>
      </c>
      <c r="P11" s="2962">
        <v>1409</v>
      </c>
      <c r="Q11" s="2962">
        <v>200</v>
      </c>
      <c r="R11" s="2962" t="s">
        <v>3150</v>
      </c>
      <c r="S11" s="2962">
        <f t="shared" si="0"/>
        <v>4227</v>
      </c>
    </row>
    <row r="12" spans="1:20">
      <c r="A12" s="2962" t="s">
        <v>3169</v>
      </c>
      <c r="B12" s="2962" t="s">
        <v>3127</v>
      </c>
      <c r="C12" s="2962" t="s">
        <v>3144</v>
      </c>
      <c r="D12" s="2962" t="s">
        <v>1331</v>
      </c>
      <c r="E12" s="2962" t="s">
        <v>3169</v>
      </c>
      <c r="F12" s="2962">
        <v>12</v>
      </c>
      <c r="G12" s="2962" t="s">
        <v>3145</v>
      </c>
      <c r="H12" s="2962">
        <v>132627.70000000001</v>
      </c>
      <c r="I12" s="2962">
        <v>344832.1</v>
      </c>
      <c r="J12" s="2962" t="s">
        <v>3170</v>
      </c>
      <c r="K12" s="2962" t="s">
        <v>3166</v>
      </c>
      <c r="L12" s="2962" t="s">
        <v>3171</v>
      </c>
      <c r="M12" s="2962" t="s">
        <v>3168</v>
      </c>
      <c r="N12" s="2962">
        <v>50121.33</v>
      </c>
      <c r="O12" s="2962">
        <v>251.94</v>
      </c>
      <c r="P12" s="2962">
        <v>1453.5</v>
      </c>
      <c r="Q12" s="2962" t="s">
        <v>1331</v>
      </c>
      <c r="R12" s="2962" t="s">
        <v>3150</v>
      </c>
      <c r="S12" s="2962">
        <f t="shared" si="0"/>
        <v>3779</v>
      </c>
    </row>
    <row r="13" spans="1:20">
      <c r="A13" s="2962" t="s">
        <v>3172</v>
      </c>
      <c r="B13" s="2962" t="s">
        <v>3127</v>
      </c>
      <c r="C13" s="2962" t="s">
        <v>3144</v>
      </c>
      <c r="D13" s="2962" t="s">
        <v>1331</v>
      </c>
      <c r="E13" s="2962" t="s">
        <v>3172</v>
      </c>
      <c r="F13" s="2962">
        <v>11</v>
      </c>
      <c r="G13" s="2962" t="s">
        <v>3145</v>
      </c>
      <c r="H13" s="2962">
        <v>32361.18</v>
      </c>
      <c r="I13" s="2962">
        <v>84139.07</v>
      </c>
      <c r="J13" s="2962" t="s">
        <v>3170</v>
      </c>
      <c r="K13" s="2962" t="s">
        <v>3166</v>
      </c>
      <c r="L13" s="2962" t="s">
        <v>3173</v>
      </c>
      <c r="M13" s="2962" t="s">
        <v>3168</v>
      </c>
      <c r="N13" s="2962">
        <v>12225.4</v>
      </c>
      <c r="O13" s="2962">
        <v>251.85</v>
      </c>
      <c r="P13" s="2962">
        <v>1453</v>
      </c>
      <c r="Q13" s="2962" t="s">
        <v>1331</v>
      </c>
      <c r="R13" s="2962" t="s">
        <v>3150</v>
      </c>
      <c r="S13" s="2962">
        <f t="shared" si="0"/>
        <v>3778</v>
      </c>
    </row>
    <row r="14" spans="1:20">
      <c r="A14" s="2962" t="s">
        <v>3174</v>
      </c>
      <c r="B14" s="2962" t="s">
        <v>3127</v>
      </c>
      <c r="C14" s="2962" t="s">
        <v>3128</v>
      </c>
      <c r="D14" s="2962" t="s">
        <v>1331</v>
      </c>
      <c r="E14" s="2962" t="s">
        <v>3174</v>
      </c>
      <c r="F14" s="2962">
        <v>9</v>
      </c>
      <c r="G14" s="2962" t="s">
        <v>3145</v>
      </c>
      <c r="H14" s="2962">
        <v>8535.1299999999992</v>
      </c>
      <c r="I14" s="2962">
        <v>21337.82</v>
      </c>
      <c r="J14" s="2962" t="s">
        <v>3155</v>
      </c>
      <c r="K14" s="2962" t="s">
        <v>3175</v>
      </c>
      <c r="L14" s="2962" t="s">
        <v>3176</v>
      </c>
      <c r="M14" s="2962" t="s">
        <v>3177</v>
      </c>
      <c r="N14" s="2962">
        <v>21124.45</v>
      </c>
      <c r="O14" s="2962">
        <v>1650</v>
      </c>
      <c r="P14" s="2962">
        <v>9900</v>
      </c>
      <c r="Q14" s="2962">
        <v>137.41</v>
      </c>
      <c r="R14" s="2962" t="s">
        <v>3150</v>
      </c>
      <c r="S14" s="2962">
        <f t="shared" si="0"/>
        <v>24750</v>
      </c>
    </row>
    <row r="15" spans="1:20">
      <c r="A15" s="2962" t="s">
        <v>3174</v>
      </c>
      <c r="B15" s="2962" t="s">
        <v>3127</v>
      </c>
      <c r="C15" s="2962" t="s">
        <v>3144</v>
      </c>
      <c r="D15" s="2962" t="s">
        <v>1331</v>
      </c>
      <c r="E15" s="2962" t="s">
        <v>3174</v>
      </c>
      <c r="F15" s="2962">
        <v>8</v>
      </c>
      <c r="G15" s="2962" t="s">
        <v>3145</v>
      </c>
      <c r="H15" s="2962">
        <v>5588.08</v>
      </c>
      <c r="I15" s="2962">
        <v>13970.2</v>
      </c>
      <c r="J15" s="2962" t="s">
        <v>3155</v>
      </c>
      <c r="K15" s="2962" t="s">
        <v>3178</v>
      </c>
      <c r="L15" s="2962" t="s">
        <v>3179</v>
      </c>
      <c r="M15" s="2962" t="s">
        <v>3177</v>
      </c>
      <c r="N15" s="2962">
        <v>15646.62</v>
      </c>
      <c r="O15" s="2962">
        <v>1866.67</v>
      </c>
      <c r="P15" s="2962">
        <v>11200</v>
      </c>
      <c r="Q15" s="2962">
        <v>160.46</v>
      </c>
      <c r="R15" s="2962" t="s">
        <v>3150</v>
      </c>
      <c r="S15" s="2962">
        <f t="shared" si="0"/>
        <v>28000</v>
      </c>
    </row>
    <row r="16" spans="1:20">
      <c r="A16" s="2962" t="s">
        <v>3180</v>
      </c>
      <c r="B16" s="2962" t="s">
        <v>3127</v>
      </c>
      <c r="C16" s="2962" t="s">
        <v>3128</v>
      </c>
      <c r="D16" s="2962" t="s">
        <v>1331</v>
      </c>
      <c r="E16" s="2962" t="s">
        <v>3180</v>
      </c>
      <c r="F16" s="2962" t="s">
        <v>3181</v>
      </c>
      <c r="G16" s="2962" t="s">
        <v>3128</v>
      </c>
      <c r="H16" s="2962">
        <v>106759.1</v>
      </c>
      <c r="I16" s="2962">
        <v>206016.7</v>
      </c>
      <c r="J16" s="2962" t="s">
        <v>3182</v>
      </c>
      <c r="K16" s="2962" t="s">
        <v>3183</v>
      </c>
      <c r="L16" s="2962" t="s">
        <v>3184</v>
      </c>
      <c r="M16" s="2962" t="s">
        <v>3185</v>
      </c>
      <c r="N16" s="2962">
        <v>230000</v>
      </c>
      <c r="O16" s="2962">
        <v>1436.26</v>
      </c>
      <c r="P16" s="2962">
        <v>11164.13</v>
      </c>
      <c r="Q16" s="2962">
        <v>142.11000000000001</v>
      </c>
      <c r="R16" s="2962" t="s">
        <v>3186</v>
      </c>
      <c r="S16" s="2962">
        <f t="shared" si="0"/>
        <v>21544</v>
      </c>
    </row>
    <row r="17" spans="1:20">
      <c r="A17" s="2962" t="s">
        <v>3187</v>
      </c>
      <c r="B17" s="2962" t="s">
        <v>3127</v>
      </c>
      <c r="C17" s="2962" t="s">
        <v>3128</v>
      </c>
      <c r="D17" s="2962" t="s">
        <v>1331</v>
      </c>
      <c r="E17" s="2962" t="s">
        <v>3187</v>
      </c>
      <c r="F17" s="2962">
        <v>6</v>
      </c>
      <c r="G17" s="2962" t="s">
        <v>3188</v>
      </c>
      <c r="H17" s="2962">
        <v>15075.9</v>
      </c>
      <c r="I17" s="2962">
        <v>48242.879999999997</v>
      </c>
      <c r="J17" s="2962" t="s">
        <v>3189</v>
      </c>
      <c r="K17" s="2962" t="s">
        <v>3190</v>
      </c>
      <c r="L17" s="2962" t="s">
        <v>3191</v>
      </c>
      <c r="M17" s="2962" t="s">
        <v>3192</v>
      </c>
      <c r="N17" s="2962">
        <v>10617.8</v>
      </c>
      <c r="O17" s="2962">
        <v>469.53</v>
      </c>
      <c r="P17" s="2962">
        <v>2200.9</v>
      </c>
      <c r="Q17" s="2962">
        <v>0</v>
      </c>
      <c r="R17" s="2962" t="s">
        <v>3193</v>
      </c>
      <c r="S17" s="2962">
        <f t="shared" si="0"/>
        <v>7043</v>
      </c>
    </row>
    <row r="18" spans="1:20">
      <c r="A18" s="2962" t="s">
        <v>3180</v>
      </c>
      <c r="B18" s="2962" t="s">
        <v>3127</v>
      </c>
      <c r="C18" s="2962" t="s">
        <v>3128</v>
      </c>
      <c r="D18" s="2962" t="s">
        <v>1331</v>
      </c>
      <c r="E18" s="2962" t="s">
        <v>3180</v>
      </c>
      <c r="F18" s="2962" t="s">
        <v>3194</v>
      </c>
      <c r="G18" s="2962" t="s">
        <v>3195</v>
      </c>
      <c r="H18" s="2962">
        <v>166810.9</v>
      </c>
      <c r="I18" s="2962">
        <v>425087.1</v>
      </c>
      <c r="J18" s="2962" t="s">
        <v>3196</v>
      </c>
      <c r="K18" s="2962" t="s">
        <v>3197</v>
      </c>
      <c r="L18" s="2962" t="s">
        <v>3198</v>
      </c>
      <c r="M18" s="2962" t="s">
        <v>3199</v>
      </c>
      <c r="N18" s="2962">
        <v>123000</v>
      </c>
      <c r="O18" s="2962">
        <v>491.57</v>
      </c>
      <c r="P18" s="2962">
        <v>2893.51</v>
      </c>
      <c r="Q18" s="2962">
        <v>0.82</v>
      </c>
      <c r="R18" s="2962" t="s">
        <v>3200</v>
      </c>
      <c r="S18" s="2962">
        <f t="shared" si="0"/>
        <v>7374</v>
      </c>
    </row>
    <row r="19" spans="1:20" s="2958" customFormat="1">
      <c r="A19" s="2969" t="s">
        <v>3406</v>
      </c>
      <c r="B19" s="2964" t="s">
        <v>3127</v>
      </c>
      <c r="C19" s="2964" t="s">
        <v>3144</v>
      </c>
      <c r="D19" s="2964" t="s">
        <v>1331</v>
      </c>
      <c r="E19" s="2964" t="s">
        <v>3201</v>
      </c>
      <c r="F19" s="2964">
        <v>3</v>
      </c>
      <c r="G19" s="2964" t="s">
        <v>3188</v>
      </c>
      <c r="H19" s="2964">
        <v>4208.0200000000004</v>
      </c>
      <c r="I19" s="2964">
        <v>10688.37</v>
      </c>
      <c r="J19" s="2964" t="s">
        <v>3202</v>
      </c>
      <c r="K19" s="2964" t="s">
        <v>3203</v>
      </c>
      <c r="L19" s="2964" t="s">
        <v>3204</v>
      </c>
      <c r="M19" s="2969" t="s">
        <v>3408</v>
      </c>
      <c r="N19" s="2964">
        <v>6145.81</v>
      </c>
      <c r="O19" s="2964">
        <v>973.67</v>
      </c>
      <c r="P19" s="2964">
        <v>5750</v>
      </c>
      <c r="Q19" s="2964">
        <v>60.93</v>
      </c>
      <c r="R19" s="2964" t="s">
        <v>3150</v>
      </c>
      <c r="S19" s="2964">
        <f t="shared" si="0"/>
        <v>14605</v>
      </c>
      <c r="T19" s="2958" t="s">
        <v>3409</v>
      </c>
    </row>
    <row r="20" spans="1:20">
      <c r="A20" s="2962" t="s">
        <v>3205</v>
      </c>
      <c r="B20" s="2962" t="s">
        <v>3127</v>
      </c>
      <c r="C20" s="2962" t="s">
        <v>3128</v>
      </c>
      <c r="D20" s="2962" t="s">
        <v>1331</v>
      </c>
      <c r="E20" s="2962" t="s">
        <v>3205</v>
      </c>
      <c r="F20" s="2962" t="s">
        <v>3206</v>
      </c>
      <c r="G20" s="2962" t="s">
        <v>3207</v>
      </c>
      <c r="H20" s="2962">
        <v>376502.3</v>
      </c>
      <c r="I20" s="2962">
        <v>704450.8</v>
      </c>
      <c r="J20" s="2962" t="s">
        <v>3208</v>
      </c>
      <c r="K20" s="2962" t="s">
        <v>3209</v>
      </c>
      <c r="L20" s="2962" t="s">
        <v>3210</v>
      </c>
      <c r="M20" s="2962" t="s">
        <v>3211</v>
      </c>
      <c r="N20" s="2962">
        <v>180658.2</v>
      </c>
      <c r="O20" s="2962">
        <v>319.89</v>
      </c>
      <c r="P20" s="2962">
        <v>2564.5300000000002</v>
      </c>
      <c r="Q20" s="2962">
        <v>1.1200000000000001</v>
      </c>
      <c r="R20" s="2962" t="s">
        <v>3212</v>
      </c>
      <c r="S20" s="2962">
        <f t="shared" si="0"/>
        <v>4798</v>
      </c>
    </row>
    <row r="21" spans="1:20">
      <c r="A21" s="2962" t="s">
        <v>3213</v>
      </c>
      <c r="B21" s="2962" t="s">
        <v>3127</v>
      </c>
      <c r="C21" s="2962" t="s">
        <v>3144</v>
      </c>
      <c r="D21" s="2962" t="s">
        <v>1331</v>
      </c>
      <c r="E21" s="2962" t="s">
        <v>3213</v>
      </c>
      <c r="F21" s="2962">
        <v>35</v>
      </c>
      <c r="G21" s="2962" t="s">
        <v>3188</v>
      </c>
      <c r="H21" s="2962">
        <v>8000.48</v>
      </c>
      <c r="I21" s="2962">
        <v>23201.39</v>
      </c>
      <c r="J21" s="2962" t="s">
        <v>3214</v>
      </c>
      <c r="K21" s="2962" t="s">
        <v>3215</v>
      </c>
      <c r="L21" s="2962" t="s">
        <v>3216</v>
      </c>
      <c r="M21" s="2962" t="s">
        <v>3168</v>
      </c>
      <c r="N21" s="2962">
        <v>3108.19</v>
      </c>
      <c r="O21" s="2962">
        <v>259</v>
      </c>
      <c r="P21" s="2962">
        <v>1339.66</v>
      </c>
      <c r="Q21" s="2962">
        <v>0.26</v>
      </c>
      <c r="R21" s="2962" t="s">
        <v>3150</v>
      </c>
      <c r="S21" s="2962">
        <f t="shared" si="0"/>
        <v>3885</v>
      </c>
    </row>
    <row r="22" spans="1:20">
      <c r="A22" s="2962" t="s">
        <v>3217</v>
      </c>
      <c r="B22" s="2962" t="s">
        <v>3127</v>
      </c>
      <c r="C22" s="2962" t="s">
        <v>3128</v>
      </c>
      <c r="D22" s="2962" t="s">
        <v>1331</v>
      </c>
      <c r="E22" s="2962" t="s">
        <v>3217</v>
      </c>
      <c r="F22" s="2962" t="s">
        <v>3218</v>
      </c>
      <c r="G22" s="2962" t="s">
        <v>3136</v>
      </c>
      <c r="H22" s="2962">
        <v>43169.09</v>
      </c>
      <c r="I22" s="2962">
        <v>107922.7</v>
      </c>
      <c r="J22" s="2962" t="s">
        <v>3155</v>
      </c>
      <c r="K22" s="2962" t="s">
        <v>3219</v>
      </c>
      <c r="L22" s="2962" t="s">
        <v>3220</v>
      </c>
      <c r="M22" s="2962" t="s">
        <v>3221</v>
      </c>
      <c r="N22" s="2962">
        <v>16682.43</v>
      </c>
      <c r="O22" s="2962">
        <v>257.63</v>
      </c>
      <c r="P22" s="2962">
        <v>1545.77</v>
      </c>
      <c r="Q22" s="2962">
        <v>0.19</v>
      </c>
      <c r="R22" s="2962" t="s">
        <v>3193</v>
      </c>
      <c r="S22" s="2962">
        <f t="shared" si="0"/>
        <v>3864</v>
      </c>
    </row>
    <row r="23" spans="1:20">
      <c r="A23" s="2962" t="s">
        <v>3217</v>
      </c>
      <c r="B23" s="2962" t="s">
        <v>3127</v>
      </c>
      <c r="C23" s="2962" t="s">
        <v>3128</v>
      </c>
      <c r="D23" s="2962" t="s">
        <v>1331</v>
      </c>
      <c r="E23" s="2962" t="s">
        <v>3217</v>
      </c>
      <c r="F23" s="2962" t="s">
        <v>3222</v>
      </c>
      <c r="G23" s="2962" t="s">
        <v>3136</v>
      </c>
      <c r="H23" s="2962">
        <v>53531.85</v>
      </c>
      <c r="I23" s="2962">
        <v>133829.6</v>
      </c>
      <c r="J23" s="2962" t="s">
        <v>3155</v>
      </c>
      <c r="K23" s="2962" t="s">
        <v>3219</v>
      </c>
      <c r="L23" s="2962" t="s">
        <v>3223</v>
      </c>
      <c r="M23" s="2962" t="s">
        <v>3221</v>
      </c>
      <c r="N23" s="2962">
        <v>16956.7</v>
      </c>
      <c r="O23" s="2962">
        <v>211.17</v>
      </c>
      <c r="P23" s="2962">
        <v>1267.03</v>
      </c>
      <c r="Q23" s="2962">
        <v>0.2</v>
      </c>
      <c r="R23" s="2962" t="s">
        <v>3193</v>
      </c>
      <c r="S23" s="2962">
        <f t="shared" si="0"/>
        <v>3168</v>
      </c>
    </row>
    <row r="24" spans="1:20">
      <c r="A24" s="2962" t="s">
        <v>3217</v>
      </c>
      <c r="B24" s="2962" t="s">
        <v>3127</v>
      </c>
      <c r="C24" s="2962" t="s">
        <v>3128</v>
      </c>
      <c r="D24" s="2962" t="s">
        <v>1331</v>
      </c>
      <c r="E24" s="2962" t="s">
        <v>3217</v>
      </c>
      <c r="F24" s="2962" t="s">
        <v>3224</v>
      </c>
      <c r="G24" s="2962" t="s">
        <v>3136</v>
      </c>
      <c r="H24" s="2962">
        <v>56832.42</v>
      </c>
      <c r="I24" s="2962">
        <v>142081</v>
      </c>
      <c r="J24" s="2962" t="s">
        <v>3155</v>
      </c>
      <c r="K24" s="2962" t="s">
        <v>3219</v>
      </c>
      <c r="L24" s="2962" t="s">
        <v>3225</v>
      </c>
      <c r="M24" s="2962" t="s">
        <v>3221</v>
      </c>
      <c r="N24" s="2962">
        <v>18010.88</v>
      </c>
      <c r="O24" s="2962">
        <v>211.27</v>
      </c>
      <c r="P24" s="2962">
        <v>1267.6500000000001</v>
      </c>
      <c r="Q24" s="2962">
        <v>0.19</v>
      </c>
      <c r="R24" s="2962" t="s">
        <v>3193</v>
      </c>
      <c r="S24" s="2962">
        <f t="shared" si="0"/>
        <v>3169</v>
      </c>
    </row>
    <row r="25" spans="1:20">
      <c r="A25" s="2962" t="s">
        <v>3226</v>
      </c>
      <c r="B25" s="2962" t="s">
        <v>3127</v>
      </c>
      <c r="C25" s="2962" t="s">
        <v>3128</v>
      </c>
      <c r="D25" s="2962" t="s">
        <v>1331</v>
      </c>
      <c r="E25" s="2962" t="s">
        <v>3226</v>
      </c>
      <c r="F25" s="2962" t="s">
        <v>3227</v>
      </c>
      <c r="G25" s="2962" t="s">
        <v>3228</v>
      </c>
      <c r="H25" s="2962">
        <v>10830.02</v>
      </c>
      <c r="I25" s="2962">
        <v>27075.05</v>
      </c>
      <c r="J25" s="2962" t="s">
        <v>3155</v>
      </c>
      <c r="K25" s="2962" t="s">
        <v>3229</v>
      </c>
      <c r="L25" s="2962" t="s">
        <v>3230</v>
      </c>
      <c r="M25" s="2962" t="s">
        <v>3221</v>
      </c>
      <c r="N25" s="2962">
        <v>3467.11</v>
      </c>
      <c r="O25" s="2962">
        <v>213.43</v>
      </c>
      <c r="P25" s="2962">
        <v>1280.55</v>
      </c>
      <c r="Q25" s="2962">
        <v>1.63</v>
      </c>
      <c r="R25" s="2962" t="s">
        <v>3231</v>
      </c>
      <c r="S25" s="2962">
        <f t="shared" si="0"/>
        <v>3201</v>
      </c>
    </row>
    <row r="26" spans="1:20">
      <c r="A26" s="2962" t="s">
        <v>3226</v>
      </c>
      <c r="B26" s="2962" t="s">
        <v>3127</v>
      </c>
      <c r="C26" s="2962" t="s">
        <v>3144</v>
      </c>
      <c r="D26" s="2962" t="s">
        <v>1331</v>
      </c>
      <c r="E26" s="2962" t="s">
        <v>3226</v>
      </c>
      <c r="F26" s="2962" t="s">
        <v>3232</v>
      </c>
      <c r="G26" s="2962" t="s">
        <v>3188</v>
      </c>
      <c r="H26" s="2962">
        <v>28557.58</v>
      </c>
      <c r="I26" s="2962">
        <v>71393.95</v>
      </c>
      <c r="J26" s="2962" t="s">
        <v>3155</v>
      </c>
      <c r="K26" s="2962" t="s">
        <v>3229</v>
      </c>
      <c r="L26" s="2962" t="s">
        <v>3233</v>
      </c>
      <c r="M26" s="2962" t="s">
        <v>3221</v>
      </c>
      <c r="N26" s="2962">
        <v>8991.4699999999993</v>
      </c>
      <c r="O26" s="2962">
        <v>209.9</v>
      </c>
      <c r="P26" s="2962">
        <v>1259.42</v>
      </c>
      <c r="Q26" s="2962">
        <v>1.63</v>
      </c>
      <c r="R26" s="2962" t="s">
        <v>3150</v>
      </c>
      <c r="S26" s="2962">
        <f t="shared" si="0"/>
        <v>3149</v>
      </c>
    </row>
    <row r="27" spans="1:20">
      <c r="A27" s="2962" t="s">
        <v>3234</v>
      </c>
      <c r="B27" s="2962" t="s">
        <v>3127</v>
      </c>
      <c r="C27" s="2962" t="s">
        <v>3144</v>
      </c>
      <c r="D27" s="2962" t="s">
        <v>1331</v>
      </c>
      <c r="E27" s="2962" t="s">
        <v>3234</v>
      </c>
      <c r="F27" s="2962" t="s">
        <v>3235</v>
      </c>
      <c r="G27" s="2962" t="s">
        <v>3145</v>
      </c>
      <c r="H27" s="2962">
        <v>15455.75</v>
      </c>
      <c r="I27" s="2962">
        <v>85006.63</v>
      </c>
      <c r="J27" s="2962" t="s">
        <v>3140</v>
      </c>
      <c r="K27" s="2962" t="s">
        <v>3236</v>
      </c>
      <c r="L27" s="2962" t="s">
        <v>3237</v>
      </c>
      <c r="M27" s="2962" t="s">
        <v>3238</v>
      </c>
      <c r="N27" s="2962">
        <v>10812.06</v>
      </c>
      <c r="O27" s="2962">
        <v>466.37</v>
      </c>
      <c r="P27" s="2962">
        <v>1271.9100000000001</v>
      </c>
      <c r="Q27" s="2962">
        <v>0.81</v>
      </c>
      <c r="R27" s="2962" t="s">
        <v>3150</v>
      </c>
      <c r="S27" s="2962">
        <f t="shared" si="0"/>
        <v>6995</v>
      </c>
    </row>
    <row r="28" spans="1:20">
      <c r="A28" s="2962" t="s">
        <v>3234</v>
      </c>
      <c r="B28" s="2962" t="s">
        <v>3127</v>
      </c>
      <c r="C28" s="2962" t="s">
        <v>3144</v>
      </c>
      <c r="D28" s="2962" t="s">
        <v>1331</v>
      </c>
      <c r="E28" s="2962" t="s">
        <v>3234</v>
      </c>
      <c r="F28" s="2962" t="s">
        <v>3239</v>
      </c>
      <c r="G28" s="2962" t="s">
        <v>3145</v>
      </c>
      <c r="H28" s="2962">
        <v>18637.3</v>
      </c>
      <c r="I28" s="2962">
        <v>106232.6</v>
      </c>
      <c r="J28" s="2962" t="s">
        <v>3240</v>
      </c>
      <c r="K28" s="2962" t="s">
        <v>3236</v>
      </c>
      <c r="L28" s="2962" t="s">
        <v>3241</v>
      </c>
      <c r="M28" s="2962" t="s">
        <v>3238</v>
      </c>
      <c r="N28" s="2962">
        <v>13114.8</v>
      </c>
      <c r="O28" s="2962">
        <v>469.12</v>
      </c>
      <c r="P28" s="2962">
        <v>1234.53</v>
      </c>
      <c r="Q28" s="2962">
        <v>0.77</v>
      </c>
      <c r="R28" s="2962" t="s">
        <v>3150</v>
      </c>
      <c r="S28" s="2962">
        <f t="shared" si="0"/>
        <v>7037</v>
      </c>
    </row>
    <row r="29" spans="1:20">
      <c r="A29" s="2962" t="s">
        <v>3234</v>
      </c>
      <c r="B29" s="2962" t="s">
        <v>3127</v>
      </c>
      <c r="C29" s="2962" t="s">
        <v>3144</v>
      </c>
      <c r="D29" s="2962" t="s">
        <v>1331</v>
      </c>
      <c r="E29" s="2962" t="s">
        <v>3234</v>
      </c>
      <c r="F29" s="2962" t="s">
        <v>3242</v>
      </c>
      <c r="G29" s="2962" t="s">
        <v>3145</v>
      </c>
      <c r="H29" s="2962">
        <v>5101.57</v>
      </c>
      <c r="I29" s="2962">
        <v>30099.26</v>
      </c>
      <c r="J29" s="2962" t="s">
        <v>3243</v>
      </c>
      <c r="K29" s="2962" t="s">
        <v>3236</v>
      </c>
      <c r="L29" s="2962" t="s">
        <v>3244</v>
      </c>
      <c r="M29" s="2962" t="s">
        <v>3238</v>
      </c>
      <c r="N29" s="2962">
        <v>3616.78</v>
      </c>
      <c r="O29" s="2962">
        <v>472.64</v>
      </c>
      <c r="P29" s="2962">
        <v>1201.6099999999999</v>
      </c>
      <c r="Q29" s="2962">
        <v>0.8</v>
      </c>
      <c r="R29" s="2962" t="s">
        <v>3150</v>
      </c>
      <c r="S29" s="2962">
        <f t="shared" si="0"/>
        <v>7090</v>
      </c>
    </row>
    <row r="30" spans="1:20">
      <c r="A30" s="2962" t="s">
        <v>3234</v>
      </c>
      <c r="B30" s="2962" t="s">
        <v>3127</v>
      </c>
      <c r="C30" s="2962" t="s">
        <v>3144</v>
      </c>
      <c r="D30" s="2962" t="s">
        <v>1331</v>
      </c>
      <c r="E30" s="2962" t="s">
        <v>3234</v>
      </c>
      <c r="F30" s="2962" t="s">
        <v>3245</v>
      </c>
      <c r="G30" s="2962" t="s">
        <v>3145</v>
      </c>
      <c r="H30" s="2962">
        <v>52574.04</v>
      </c>
      <c r="I30" s="2962">
        <v>272859.3</v>
      </c>
      <c r="J30" s="2962" t="s">
        <v>3246</v>
      </c>
      <c r="K30" s="2962" t="s">
        <v>3236</v>
      </c>
      <c r="L30" s="2962" t="s">
        <v>3247</v>
      </c>
      <c r="M30" s="2962" t="s">
        <v>3238</v>
      </c>
      <c r="N30" s="2962">
        <v>36244.33</v>
      </c>
      <c r="O30" s="2962">
        <v>459.6</v>
      </c>
      <c r="P30" s="2962">
        <v>1328.31</v>
      </c>
      <c r="Q30" s="2962">
        <v>0.79</v>
      </c>
      <c r="R30" s="2962" t="s">
        <v>3150</v>
      </c>
      <c r="S30" s="2962">
        <f t="shared" si="0"/>
        <v>6894</v>
      </c>
    </row>
    <row r="31" spans="1:20">
      <c r="A31" s="2962" t="s">
        <v>3248</v>
      </c>
      <c r="B31" s="2962" t="s">
        <v>3127</v>
      </c>
      <c r="C31" s="2962" t="s">
        <v>3144</v>
      </c>
      <c r="D31" s="2962" t="s">
        <v>1331</v>
      </c>
      <c r="E31" s="2962" t="s">
        <v>3248</v>
      </c>
      <c r="F31" s="2962" t="s">
        <v>3249</v>
      </c>
      <c r="G31" s="2962" t="s">
        <v>3188</v>
      </c>
      <c r="H31" s="2962">
        <v>22148.12</v>
      </c>
      <c r="I31" s="2962">
        <v>139164.20000000001</v>
      </c>
      <c r="J31" s="2962" t="s">
        <v>3250</v>
      </c>
      <c r="K31" s="2962" t="s">
        <v>3251</v>
      </c>
      <c r="L31" s="2962" t="s">
        <v>3252</v>
      </c>
      <c r="M31" s="2962" t="s">
        <v>3139</v>
      </c>
      <c r="N31" s="2962">
        <v>35000</v>
      </c>
      <c r="O31" s="2962">
        <v>1053.51</v>
      </c>
      <c r="P31" s="2962">
        <v>2515.0100000000002</v>
      </c>
      <c r="Q31" s="2962">
        <v>47.67</v>
      </c>
      <c r="R31" s="2962" t="s">
        <v>3150</v>
      </c>
      <c r="S31" s="2962">
        <f t="shared" si="0"/>
        <v>15803</v>
      </c>
    </row>
    <row r="32" spans="1:20">
      <c r="A32" s="2962" t="s">
        <v>3253</v>
      </c>
      <c r="B32" s="2962" t="s">
        <v>3127</v>
      </c>
      <c r="C32" s="2962" t="s">
        <v>3128</v>
      </c>
      <c r="D32" s="2962" t="s">
        <v>1331</v>
      </c>
      <c r="E32" s="2962" t="s">
        <v>3253</v>
      </c>
      <c r="F32" s="2962" t="s">
        <v>3254</v>
      </c>
      <c r="G32" s="2962" t="s">
        <v>3255</v>
      </c>
      <c r="H32" s="2962">
        <v>27893.75</v>
      </c>
      <c r="I32" s="2962">
        <v>142258.1</v>
      </c>
      <c r="J32" s="2962" t="s">
        <v>3256</v>
      </c>
      <c r="K32" s="2962" t="s">
        <v>3251</v>
      </c>
      <c r="L32" s="2962" t="s">
        <v>3257</v>
      </c>
      <c r="M32" s="2962" t="s">
        <v>3258</v>
      </c>
      <c r="N32" s="2962">
        <v>18327.11</v>
      </c>
      <c r="O32" s="2962">
        <v>438.02</v>
      </c>
      <c r="P32" s="2962">
        <v>1288.29</v>
      </c>
      <c r="Q32" s="2962">
        <v>0</v>
      </c>
      <c r="R32" s="2962" t="s">
        <v>3193</v>
      </c>
      <c r="S32" s="2962">
        <f t="shared" si="0"/>
        <v>6570</v>
      </c>
    </row>
    <row r="33" spans="1:19">
      <c r="A33" s="2962" t="s">
        <v>3259</v>
      </c>
      <c r="B33" s="2962" t="s">
        <v>3127</v>
      </c>
      <c r="C33" s="2962" t="s">
        <v>3128</v>
      </c>
      <c r="D33" s="2962" t="s">
        <v>1331</v>
      </c>
      <c r="E33" s="2962" t="s">
        <v>3259</v>
      </c>
      <c r="F33" s="2962" t="s">
        <v>3260</v>
      </c>
      <c r="G33" s="2962" t="s">
        <v>3261</v>
      </c>
      <c r="H33" s="2962">
        <v>12138.24</v>
      </c>
      <c r="I33" s="2962">
        <v>57049.73</v>
      </c>
      <c r="J33" s="2962" t="s">
        <v>3262</v>
      </c>
      <c r="K33" s="2962" t="s">
        <v>3263</v>
      </c>
      <c r="L33" s="2962" t="s">
        <v>3264</v>
      </c>
      <c r="M33" s="2962" t="s">
        <v>3265</v>
      </c>
      <c r="N33" s="2962">
        <v>11124.7</v>
      </c>
      <c r="O33" s="2962">
        <v>611</v>
      </c>
      <c r="P33" s="2962">
        <v>1950</v>
      </c>
      <c r="Q33" s="2962">
        <v>55.59</v>
      </c>
      <c r="R33" s="2962" t="s">
        <v>3193</v>
      </c>
      <c r="S33" s="2962">
        <f t="shared" si="0"/>
        <v>9165</v>
      </c>
    </row>
    <row r="34" spans="1:19">
      <c r="A34" s="2962" t="s">
        <v>3266</v>
      </c>
      <c r="B34" s="2962" t="s">
        <v>3127</v>
      </c>
      <c r="C34" s="2962" t="s">
        <v>3144</v>
      </c>
      <c r="D34" s="2962" t="s">
        <v>1331</v>
      </c>
      <c r="E34" s="2962" t="s">
        <v>3266</v>
      </c>
      <c r="F34" s="2962" t="s">
        <v>3267</v>
      </c>
      <c r="G34" s="2962" t="s">
        <v>3268</v>
      </c>
      <c r="H34" s="2962">
        <v>54323.6</v>
      </c>
      <c r="I34" s="2962">
        <v>313275.3</v>
      </c>
      <c r="J34" s="2962" t="s">
        <v>3269</v>
      </c>
      <c r="K34" s="2962" t="s">
        <v>3263</v>
      </c>
      <c r="L34" s="2962" t="s">
        <v>3270</v>
      </c>
      <c r="M34" s="2962" t="s">
        <v>3271</v>
      </c>
      <c r="N34" s="2962">
        <v>41221.01</v>
      </c>
      <c r="O34" s="2962">
        <v>505.87</v>
      </c>
      <c r="P34" s="2962">
        <v>1315.8</v>
      </c>
      <c r="Q34" s="2962">
        <v>0</v>
      </c>
      <c r="R34" s="2962" t="s">
        <v>3150</v>
      </c>
      <c r="S34" s="2962">
        <f t="shared" si="0"/>
        <v>7588</v>
      </c>
    </row>
    <row r="35" spans="1:19">
      <c r="A35" s="2962" t="s">
        <v>3272</v>
      </c>
      <c r="B35" s="2962" t="s">
        <v>3127</v>
      </c>
      <c r="C35" s="2962" t="s">
        <v>3144</v>
      </c>
      <c r="D35" s="2962" t="s">
        <v>1331</v>
      </c>
      <c r="E35" s="2962" t="s">
        <v>3272</v>
      </c>
      <c r="F35" s="2962" t="s">
        <v>3273</v>
      </c>
      <c r="G35" s="2962" t="s">
        <v>3268</v>
      </c>
      <c r="H35" s="2962">
        <v>117230.2</v>
      </c>
      <c r="I35" s="2962">
        <v>234460.5</v>
      </c>
      <c r="J35" s="2962" t="s">
        <v>3274</v>
      </c>
      <c r="K35" s="2962" t="s">
        <v>3275</v>
      </c>
      <c r="L35" s="2962" t="s">
        <v>3276</v>
      </c>
      <c r="M35" s="2962" t="s">
        <v>3277</v>
      </c>
      <c r="N35" s="2962">
        <v>92142.96</v>
      </c>
      <c r="O35" s="2962">
        <v>524</v>
      </c>
      <c r="P35" s="2962">
        <v>3930</v>
      </c>
      <c r="Q35" s="2962">
        <v>0.77</v>
      </c>
      <c r="R35" s="2962" t="s">
        <v>3150</v>
      </c>
      <c r="S35" s="2962">
        <f t="shared" si="0"/>
        <v>7860</v>
      </c>
    </row>
    <row r="36" spans="1:19">
      <c r="A36" s="2962" t="s">
        <v>3278</v>
      </c>
      <c r="B36" s="2962" t="s">
        <v>3127</v>
      </c>
      <c r="C36" s="2962" t="s">
        <v>3144</v>
      </c>
      <c r="D36" s="2962" t="s">
        <v>1331</v>
      </c>
      <c r="E36" s="2962" t="s">
        <v>3278</v>
      </c>
      <c r="F36" s="2962">
        <v>22</v>
      </c>
      <c r="G36" s="2962" t="s">
        <v>3268</v>
      </c>
      <c r="H36" s="2962">
        <v>26970.48</v>
      </c>
      <c r="I36" s="2962">
        <v>94396.68</v>
      </c>
      <c r="J36" s="2962" t="s">
        <v>3279</v>
      </c>
      <c r="K36" s="2962" t="s">
        <v>3280</v>
      </c>
      <c r="L36" s="2962" t="s">
        <v>3281</v>
      </c>
      <c r="M36" s="2962" t="s">
        <v>3282</v>
      </c>
      <c r="N36" s="2962">
        <v>9076</v>
      </c>
      <c r="O36" s="2962">
        <v>224.34</v>
      </c>
      <c r="P36" s="2962">
        <v>961.47</v>
      </c>
      <c r="Q36" s="2962">
        <v>0.06</v>
      </c>
      <c r="R36" s="2962" t="s">
        <v>3150</v>
      </c>
      <c r="S36" s="2962">
        <f t="shared" si="0"/>
        <v>3365</v>
      </c>
    </row>
    <row r="37" spans="1:19">
      <c r="A37" s="2962" t="s">
        <v>3283</v>
      </c>
      <c r="B37" s="2962" t="s">
        <v>3127</v>
      </c>
      <c r="C37" s="2962" t="s">
        <v>3128</v>
      </c>
      <c r="D37" s="2962" t="s">
        <v>1331</v>
      </c>
      <c r="E37" s="2962" t="s">
        <v>3283</v>
      </c>
      <c r="F37" s="2962" t="s">
        <v>3284</v>
      </c>
      <c r="G37" s="2962" t="s">
        <v>3285</v>
      </c>
      <c r="H37" s="2962">
        <v>75568.31</v>
      </c>
      <c r="I37" s="2962">
        <v>204507.5</v>
      </c>
      <c r="J37" s="2962" t="s">
        <v>3286</v>
      </c>
      <c r="K37" s="2962" t="s">
        <v>3280</v>
      </c>
      <c r="L37" s="2962" t="s">
        <v>3287</v>
      </c>
      <c r="M37" s="2962" t="s">
        <v>3288</v>
      </c>
      <c r="N37" s="2962">
        <v>46500</v>
      </c>
      <c r="O37" s="2962">
        <v>410.22</v>
      </c>
      <c r="P37" s="2962">
        <v>2273.7600000000002</v>
      </c>
      <c r="Q37" s="2962">
        <v>15.17</v>
      </c>
      <c r="R37" s="2962" t="s">
        <v>3193</v>
      </c>
      <c r="S37" s="2962">
        <f t="shared" si="0"/>
        <v>6153</v>
      </c>
    </row>
    <row r="38" spans="1:19">
      <c r="A38" s="2962" t="s">
        <v>3289</v>
      </c>
      <c r="B38" s="2962" t="s">
        <v>3127</v>
      </c>
      <c r="C38" s="2962" t="s">
        <v>3128</v>
      </c>
      <c r="D38" s="2962" t="s">
        <v>1331</v>
      </c>
      <c r="E38" s="2962" t="s">
        <v>3289</v>
      </c>
      <c r="F38" s="2962">
        <v>23</v>
      </c>
      <c r="G38" s="2962" t="s">
        <v>3290</v>
      </c>
      <c r="H38" s="2962">
        <v>6445.65</v>
      </c>
      <c r="I38" s="2962">
        <v>19336.95</v>
      </c>
      <c r="J38" s="2962" t="s">
        <v>3165</v>
      </c>
      <c r="K38" s="2962" t="s">
        <v>3280</v>
      </c>
      <c r="L38" s="2962" t="s">
        <v>3291</v>
      </c>
      <c r="M38" s="2962" t="s">
        <v>3168</v>
      </c>
      <c r="N38" s="2962">
        <v>2520.13</v>
      </c>
      <c r="O38" s="2962">
        <v>260.64999999999998</v>
      </c>
      <c r="P38" s="2962">
        <v>1303.26</v>
      </c>
      <c r="Q38" s="2962">
        <v>0.26</v>
      </c>
      <c r="R38" s="2962" t="s">
        <v>3292</v>
      </c>
      <c r="S38" s="2962">
        <f t="shared" si="0"/>
        <v>3910</v>
      </c>
    </row>
    <row r="39" spans="1:19">
      <c r="A39" s="2962" t="s">
        <v>3293</v>
      </c>
      <c r="B39" s="2962" t="s">
        <v>3127</v>
      </c>
      <c r="C39" s="2962" t="s">
        <v>3128</v>
      </c>
      <c r="D39" s="2962" t="s">
        <v>1331</v>
      </c>
      <c r="E39" s="2962" t="s">
        <v>3293</v>
      </c>
      <c r="F39" s="2962">
        <v>20</v>
      </c>
      <c r="G39" s="2962" t="s">
        <v>3294</v>
      </c>
      <c r="H39" s="2962">
        <v>87099.8</v>
      </c>
      <c r="I39" s="2962">
        <v>217749.5</v>
      </c>
      <c r="J39" s="2962" t="s">
        <v>3155</v>
      </c>
      <c r="K39" s="2962" t="s">
        <v>3295</v>
      </c>
      <c r="L39" s="2962" t="s">
        <v>3296</v>
      </c>
      <c r="M39" s="2962" t="s">
        <v>3297</v>
      </c>
      <c r="N39" s="2962">
        <v>95809.77</v>
      </c>
      <c r="O39" s="2962">
        <v>733.33</v>
      </c>
      <c r="P39" s="2962">
        <v>4400</v>
      </c>
      <c r="Q39" s="2962">
        <v>116.96</v>
      </c>
      <c r="R39" s="2962" t="s">
        <v>3292</v>
      </c>
      <c r="S39" s="2962">
        <f t="shared" si="0"/>
        <v>11000</v>
      </c>
    </row>
    <row r="40" spans="1:19">
      <c r="A40" s="2962" t="s">
        <v>3298</v>
      </c>
      <c r="B40" s="2962" t="s">
        <v>3127</v>
      </c>
      <c r="C40" s="2962" t="s">
        <v>3128</v>
      </c>
      <c r="D40" s="2962" t="s">
        <v>1331</v>
      </c>
      <c r="E40" s="2962" t="s">
        <v>3298</v>
      </c>
      <c r="F40" s="2962">
        <v>19</v>
      </c>
      <c r="G40" s="2962" t="s">
        <v>3299</v>
      </c>
      <c r="H40" s="2962">
        <v>1729</v>
      </c>
      <c r="I40" s="2962">
        <v>4322.5</v>
      </c>
      <c r="J40" s="2962" t="s">
        <v>3155</v>
      </c>
      <c r="K40" s="2962" t="s">
        <v>3300</v>
      </c>
      <c r="L40" s="2962" t="s">
        <v>3301</v>
      </c>
      <c r="M40" s="2962" t="s">
        <v>3302</v>
      </c>
      <c r="N40" s="2962">
        <v>1311.28</v>
      </c>
      <c r="O40" s="2962">
        <v>505.6</v>
      </c>
      <c r="P40" s="2962">
        <v>3033.63</v>
      </c>
      <c r="Q40" s="2962">
        <v>4.8</v>
      </c>
      <c r="R40" s="2962" t="s">
        <v>3193</v>
      </c>
      <c r="S40" s="2962">
        <f t="shared" si="0"/>
        <v>7584</v>
      </c>
    </row>
    <row r="41" spans="1:19">
      <c r="A41" s="2962" t="s">
        <v>3303</v>
      </c>
      <c r="B41" s="2962" t="s">
        <v>3127</v>
      </c>
      <c r="C41" s="2962" t="s">
        <v>3128</v>
      </c>
      <c r="D41" s="2962" t="s">
        <v>1331</v>
      </c>
      <c r="E41" s="2962" t="s">
        <v>3303</v>
      </c>
      <c r="F41" s="2962" t="s">
        <v>3304</v>
      </c>
      <c r="G41" s="2962" t="s">
        <v>3305</v>
      </c>
      <c r="H41" s="2962">
        <v>14948</v>
      </c>
      <c r="I41" s="2962">
        <v>65771.199999999997</v>
      </c>
      <c r="J41" s="2962" t="s">
        <v>3306</v>
      </c>
      <c r="K41" s="2962" t="s">
        <v>3307</v>
      </c>
      <c r="L41" s="2962" t="s">
        <v>3308</v>
      </c>
      <c r="M41" s="2962" t="s">
        <v>3238</v>
      </c>
      <c r="N41" s="2962">
        <v>9635.4699999999993</v>
      </c>
      <c r="O41" s="2962">
        <v>429.73</v>
      </c>
      <c r="P41" s="2962">
        <v>1465</v>
      </c>
      <c r="Q41" s="2962" t="s">
        <v>1331</v>
      </c>
      <c r="R41" s="2962" t="s">
        <v>3309</v>
      </c>
      <c r="S41" s="2962">
        <f t="shared" si="0"/>
        <v>6446</v>
      </c>
    </row>
    <row r="42" spans="1:19">
      <c r="A42" s="2962" t="s">
        <v>3303</v>
      </c>
      <c r="B42" s="2962" t="s">
        <v>3127</v>
      </c>
      <c r="C42" s="2962" t="s">
        <v>3128</v>
      </c>
      <c r="D42" s="2962" t="s">
        <v>1331</v>
      </c>
      <c r="E42" s="2962" t="s">
        <v>3303</v>
      </c>
      <c r="F42" s="2962" t="s">
        <v>3310</v>
      </c>
      <c r="G42" s="2962" t="s">
        <v>3311</v>
      </c>
      <c r="H42" s="2962">
        <v>48307</v>
      </c>
      <c r="I42" s="2962">
        <v>193228</v>
      </c>
      <c r="J42" s="2962" t="s">
        <v>3312</v>
      </c>
      <c r="K42" s="2962" t="s">
        <v>3307</v>
      </c>
      <c r="L42" s="2962" t="s">
        <v>3313</v>
      </c>
      <c r="M42" s="2962" t="s">
        <v>3238</v>
      </c>
      <c r="N42" s="2962">
        <v>60841.94</v>
      </c>
      <c r="O42" s="2962">
        <v>839.66</v>
      </c>
      <c r="P42" s="2962">
        <v>3148.71</v>
      </c>
      <c r="Q42" s="2962">
        <v>3.39</v>
      </c>
      <c r="R42" s="2962" t="s">
        <v>3309</v>
      </c>
      <c r="S42" s="2962">
        <f t="shared" si="0"/>
        <v>12595</v>
      </c>
    </row>
    <row r="43" spans="1:19">
      <c r="A43" s="2962" t="s">
        <v>3303</v>
      </c>
      <c r="B43" s="2962" t="s">
        <v>3127</v>
      </c>
      <c r="C43" s="2962" t="s">
        <v>3128</v>
      </c>
      <c r="D43" s="2962" t="s">
        <v>1331</v>
      </c>
      <c r="E43" s="2962" t="s">
        <v>3303</v>
      </c>
      <c r="F43" s="2962" t="s">
        <v>3314</v>
      </c>
      <c r="G43" s="2962" t="s">
        <v>3315</v>
      </c>
      <c r="H43" s="2962">
        <v>8302</v>
      </c>
      <c r="I43" s="2962">
        <v>45661</v>
      </c>
      <c r="J43" s="2962" t="s">
        <v>3316</v>
      </c>
      <c r="K43" s="2962" t="s">
        <v>3307</v>
      </c>
      <c r="L43" s="2962" t="s">
        <v>3317</v>
      </c>
      <c r="M43" s="2962" t="s">
        <v>3238</v>
      </c>
      <c r="N43" s="2962">
        <v>6602.57</v>
      </c>
      <c r="O43" s="2962">
        <v>530.20000000000005</v>
      </c>
      <c r="P43" s="2962">
        <v>1446</v>
      </c>
      <c r="Q43" s="2962" t="s">
        <v>1331</v>
      </c>
      <c r="R43" s="2962" t="s">
        <v>3309</v>
      </c>
      <c r="S43" s="2962">
        <f t="shared" si="0"/>
        <v>7953</v>
      </c>
    </row>
    <row r="44" spans="1:19" s="2961" customFormat="1">
      <c r="A44" s="2965" t="s">
        <v>3318</v>
      </c>
      <c r="B44" s="2965" t="s">
        <v>3127</v>
      </c>
      <c r="C44" s="2965" t="s">
        <v>3128</v>
      </c>
      <c r="D44" s="2965" t="s">
        <v>1331</v>
      </c>
      <c r="E44" s="2965" t="s">
        <v>3318</v>
      </c>
      <c r="F44" s="2965" t="s">
        <v>3319</v>
      </c>
      <c r="G44" s="2965" t="s">
        <v>3320</v>
      </c>
      <c r="H44" s="2965">
        <v>20322.52</v>
      </c>
      <c r="I44" s="2965">
        <v>81290.080000000002</v>
      </c>
      <c r="J44" s="2965" t="s">
        <v>3312</v>
      </c>
      <c r="K44" s="2965" t="s">
        <v>3307</v>
      </c>
      <c r="L44" s="2965" t="s">
        <v>3321</v>
      </c>
      <c r="M44" s="2965" t="s">
        <v>3322</v>
      </c>
      <c r="N44" s="2965">
        <v>35435.93</v>
      </c>
      <c r="O44" s="2965">
        <v>1162.45</v>
      </c>
      <c r="P44" s="2965">
        <v>4359.18</v>
      </c>
      <c r="Q44" s="2965">
        <v>0.62</v>
      </c>
      <c r="R44" s="2965" t="s">
        <v>3309</v>
      </c>
      <c r="S44" s="2965">
        <f t="shared" si="0"/>
        <v>17437</v>
      </c>
    </row>
    <row r="45" spans="1:19" s="2961" customFormat="1">
      <c r="A45" s="2965" t="s">
        <v>3318</v>
      </c>
      <c r="B45" s="2965" t="s">
        <v>3127</v>
      </c>
      <c r="C45" s="2965" t="s">
        <v>3144</v>
      </c>
      <c r="D45" s="2965" t="s">
        <v>1331</v>
      </c>
      <c r="E45" s="2965" t="s">
        <v>3318</v>
      </c>
      <c r="F45" s="2965" t="s">
        <v>3323</v>
      </c>
      <c r="G45" s="2965" t="s">
        <v>3188</v>
      </c>
      <c r="H45" s="2965">
        <v>30138.799999999999</v>
      </c>
      <c r="I45" s="2965">
        <v>105485.8</v>
      </c>
      <c r="J45" s="2965" t="s">
        <v>3324</v>
      </c>
      <c r="K45" s="2965" t="s">
        <v>3307</v>
      </c>
      <c r="L45" s="2965" t="s">
        <v>3325</v>
      </c>
      <c r="M45" s="2965" t="s">
        <v>3322</v>
      </c>
      <c r="N45" s="2965">
        <v>46064.06</v>
      </c>
      <c r="O45" s="2965">
        <v>1018.93</v>
      </c>
      <c r="P45" s="2965">
        <v>4366.8500000000004</v>
      </c>
      <c r="Q45" s="2965">
        <v>0.62</v>
      </c>
      <c r="R45" s="2965" t="s">
        <v>3150</v>
      </c>
      <c r="S45" s="2965">
        <f t="shared" si="0"/>
        <v>15284</v>
      </c>
    </row>
    <row r="46" spans="1:19">
      <c r="A46" s="2962" t="s">
        <v>3326</v>
      </c>
      <c r="B46" s="2962" t="s">
        <v>3127</v>
      </c>
      <c r="C46" s="2962" t="s">
        <v>3144</v>
      </c>
      <c r="D46" s="2962" t="s">
        <v>1331</v>
      </c>
      <c r="E46" s="2962" t="s">
        <v>3326</v>
      </c>
      <c r="F46" s="2962">
        <v>16</v>
      </c>
      <c r="G46" s="2962" t="s">
        <v>3145</v>
      </c>
      <c r="H46" s="2962">
        <v>23711.360000000001</v>
      </c>
      <c r="I46" s="2962">
        <v>59278.400000000001</v>
      </c>
      <c r="J46" s="2962" t="s">
        <v>3155</v>
      </c>
      <c r="K46" s="2962" t="s">
        <v>3327</v>
      </c>
      <c r="L46" s="2962" t="s">
        <v>3328</v>
      </c>
      <c r="M46" s="2962" t="s">
        <v>3329</v>
      </c>
      <c r="N46" s="2962">
        <v>10636.92</v>
      </c>
      <c r="O46" s="2962">
        <v>299.07</v>
      </c>
      <c r="P46" s="2962">
        <v>1794.4</v>
      </c>
      <c r="Q46" s="2962">
        <v>0.02</v>
      </c>
      <c r="R46" s="2962" t="s">
        <v>3150</v>
      </c>
      <c r="S46" s="2962">
        <f t="shared" si="0"/>
        <v>4486</v>
      </c>
    </row>
    <row r="47" spans="1:19">
      <c r="A47" s="2962" t="s">
        <v>3330</v>
      </c>
      <c r="B47" s="2962" t="s">
        <v>3127</v>
      </c>
      <c r="C47" s="2962" t="s">
        <v>3144</v>
      </c>
      <c r="D47" s="2962" t="s">
        <v>1331</v>
      </c>
      <c r="E47" s="2962" t="s">
        <v>3330</v>
      </c>
      <c r="F47" s="2962">
        <v>14</v>
      </c>
      <c r="G47" s="2962" t="s">
        <v>3145</v>
      </c>
      <c r="H47" s="2962">
        <v>310.25</v>
      </c>
      <c r="I47" s="2962">
        <v>1085.8800000000001</v>
      </c>
      <c r="J47" s="2962" t="s">
        <v>3279</v>
      </c>
      <c r="K47" s="2962" t="s">
        <v>3331</v>
      </c>
      <c r="L47" s="2962" t="s">
        <v>3332</v>
      </c>
      <c r="M47" s="2962" t="s">
        <v>3333</v>
      </c>
      <c r="N47" s="2962">
        <v>214.06</v>
      </c>
      <c r="O47" s="2962">
        <v>459.97</v>
      </c>
      <c r="P47" s="2962">
        <v>1971.4</v>
      </c>
      <c r="Q47" s="2962">
        <v>0.01</v>
      </c>
      <c r="R47" s="2962" t="s">
        <v>3150</v>
      </c>
      <c r="S47" s="2962">
        <f t="shared" si="0"/>
        <v>6900</v>
      </c>
    </row>
    <row r="48" spans="1:19">
      <c r="A48" s="2962" t="s">
        <v>3334</v>
      </c>
      <c r="B48" s="2962" t="s">
        <v>3127</v>
      </c>
      <c r="C48" s="2962" t="s">
        <v>3128</v>
      </c>
      <c r="D48" s="2962" t="s">
        <v>1331</v>
      </c>
      <c r="E48" s="2962" t="s">
        <v>3334</v>
      </c>
      <c r="F48" s="2962">
        <v>11</v>
      </c>
      <c r="G48" s="2962" t="s">
        <v>3335</v>
      </c>
      <c r="H48" s="2962">
        <v>110915.8</v>
      </c>
      <c r="I48" s="2962">
        <v>410331.9</v>
      </c>
      <c r="J48" s="2962" t="s">
        <v>3336</v>
      </c>
      <c r="K48" s="2962" t="s">
        <v>3337</v>
      </c>
      <c r="L48" s="2962" t="s">
        <v>3338</v>
      </c>
      <c r="M48" s="2962" t="s">
        <v>3339</v>
      </c>
      <c r="N48" s="2962">
        <v>72000</v>
      </c>
      <c r="O48" s="2962">
        <v>432.76</v>
      </c>
      <c r="P48" s="2962">
        <v>1754.68</v>
      </c>
      <c r="Q48" s="2962">
        <v>0.7</v>
      </c>
      <c r="R48" s="2962" t="s">
        <v>3193</v>
      </c>
      <c r="S48" s="2962">
        <f t="shared" si="0"/>
        <v>6491</v>
      </c>
    </row>
    <row r="49" spans="1:19">
      <c r="A49" s="2962" t="s">
        <v>3326</v>
      </c>
      <c r="B49" s="2962" t="s">
        <v>3127</v>
      </c>
      <c r="C49" s="2962" t="s">
        <v>3144</v>
      </c>
      <c r="D49" s="2962" t="s">
        <v>1331</v>
      </c>
      <c r="E49" s="2962" t="s">
        <v>3326</v>
      </c>
      <c r="F49" s="2962" t="s">
        <v>3340</v>
      </c>
      <c r="G49" s="2962" t="s">
        <v>3188</v>
      </c>
      <c r="H49" s="2962">
        <v>54551.03</v>
      </c>
      <c r="I49" s="2962">
        <v>136377.60000000001</v>
      </c>
      <c r="J49" s="2962" t="s">
        <v>3155</v>
      </c>
      <c r="K49" s="2962" t="s">
        <v>3341</v>
      </c>
      <c r="L49" s="2962" t="s">
        <v>3342</v>
      </c>
      <c r="M49" s="2962" t="s">
        <v>3343</v>
      </c>
      <c r="N49" s="2962">
        <v>24466.13</v>
      </c>
      <c r="O49" s="2962">
        <v>299</v>
      </c>
      <c r="P49" s="2962">
        <v>1794</v>
      </c>
      <c r="Q49" s="2962">
        <v>0</v>
      </c>
      <c r="R49" s="2962" t="s">
        <v>3150</v>
      </c>
      <c r="S49" s="2962">
        <f t="shared" si="0"/>
        <v>4485</v>
      </c>
    </row>
    <row r="50" spans="1:19">
      <c r="A50" s="2962" t="s">
        <v>3344</v>
      </c>
      <c r="B50" s="2962" t="s">
        <v>3127</v>
      </c>
      <c r="C50" s="2962" t="s">
        <v>3128</v>
      </c>
      <c r="D50" s="2962" t="s">
        <v>1331</v>
      </c>
      <c r="E50" s="2962" t="s">
        <v>3344</v>
      </c>
      <c r="F50" s="2962" t="s">
        <v>3345</v>
      </c>
      <c r="G50" s="2962" t="s">
        <v>3346</v>
      </c>
      <c r="H50" s="2962">
        <v>90704.06</v>
      </c>
      <c r="I50" s="2962">
        <v>272112.2</v>
      </c>
      <c r="J50" s="2962" t="s">
        <v>3347</v>
      </c>
      <c r="K50" s="2962" t="s">
        <v>3348</v>
      </c>
      <c r="L50" s="2962" t="s">
        <v>3349</v>
      </c>
      <c r="M50" s="2962" t="s">
        <v>3350</v>
      </c>
      <c r="N50" s="2962">
        <v>95308.25</v>
      </c>
      <c r="O50" s="2962">
        <v>700.51</v>
      </c>
      <c r="P50" s="2962">
        <v>3502.53</v>
      </c>
      <c r="Q50" s="2962">
        <v>0.05</v>
      </c>
      <c r="R50" s="2962" t="s">
        <v>3193</v>
      </c>
      <c r="S50" s="2962">
        <f t="shared" si="0"/>
        <v>10508</v>
      </c>
    </row>
    <row r="51" spans="1:19">
      <c r="A51" s="2962" t="s">
        <v>3213</v>
      </c>
      <c r="B51" s="2962" t="s">
        <v>3127</v>
      </c>
      <c r="C51" s="2962" t="s">
        <v>3144</v>
      </c>
      <c r="D51" s="2962" t="s">
        <v>1331</v>
      </c>
      <c r="E51" s="2962" t="s">
        <v>3213</v>
      </c>
      <c r="F51" s="2962" t="s">
        <v>3351</v>
      </c>
      <c r="G51" s="2962" t="s">
        <v>3268</v>
      </c>
      <c r="H51" s="2962">
        <v>14804.98</v>
      </c>
      <c r="I51" s="2962">
        <v>22207.47</v>
      </c>
      <c r="J51" s="2962" t="s">
        <v>3146</v>
      </c>
      <c r="K51" s="2962" t="s">
        <v>3352</v>
      </c>
      <c r="L51" s="2962" t="s">
        <v>3353</v>
      </c>
      <c r="M51" s="2962" t="s">
        <v>3354</v>
      </c>
      <c r="N51" s="2962">
        <v>5076.7700000000004</v>
      </c>
      <c r="O51" s="2962">
        <v>228.61</v>
      </c>
      <c r="P51" s="2962">
        <v>2286.0700000000002</v>
      </c>
      <c r="Q51" s="2962">
        <v>0.03</v>
      </c>
      <c r="R51" s="2962" t="s">
        <v>3150</v>
      </c>
      <c r="S51" s="2962">
        <f t="shared" si="0"/>
        <v>3429</v>
      </c>
    </row>
  </sheetData>
  <phoneticPr fontId="143" type="noConversion"/>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topLeftCell="A10" workbookViewId="0">
      <selection activeCell="I43" sqref="B42:I43"/>
    </sheetView>
  </sheetViews>
  <sheetFormatPr defaultColWidth="11" defaultRowHeight="13.5"/>
  <sheetData>
    <row r="1" spans="1:11" ht="16.5">
      <c r="A1" s="3226" t="s">
        <v>3378</v>
      </c>
      <c r="B1" s="3226"/>
      <c r="C1" s="3226"/>
    </row>
    <row r="2" spans="1:11" ht="16.5">
      <c r="A2" s="2988" t="s">
        <v>3375</v>
      </c>
      <c r="B2" s="2988" t="s">
        <v>3376</v>
      </c>
      <c r="C2" s="2988" t="s">
        <v>3377</v>
      </c>
    </row>
    <row r="3" spans="1:11" ht="16.5">
      <c r="A3" s="2988">
        <v>2017.3</v>
      </c>
      <c r="B3" s="2988">
        <v>4523</v>
      </c>
      <c r="C3" s="2988">
        <v>2.17</v>
      </c>
    </row>
    <row r="4" spans="1:11" ht="16.5">
      <c r="A4" s="2988">
        <v>2017.4</v>
      </c>
      <c r="B4" s="2988">
        <v>4647</v>
      </c>
      <c r="C4" s="2988">
        <v>2.74</v>
      </c>
    </row>
    <row r="5" spans="1:11" ht="16.5">
      <c r="A5" s="2988">
        <v>2018.1</v>
      </c>
      <c r="B5" s="2988">
        <v>4820</v>
      </c>
      <c r="C5" s="2988">
        <v>3.72</v>
      </c>
    </row>
    <row r="6" spans="1:11" ht="16.5">
      <c r="A6" s="2988">
        <v>2018.2</v>
      </c>
      <c r="B6" s="2988">
        <v>4997</v>
      </c>
      <c r="C6" s="2988">
        <v>3.67</v>
      </c>
    </row>
    <row r="7" spans="1:11" ht="16.5">
      <c r="A7" s="2988">
        <v>2018.3</v>
      </c>
      <c r="B7" s="2988">
        <v>5118</v>
      </c>
      <c r="C7" s="2988">
        <v>2.42</v>
      </c>
      <c r="K7" t="s">
        <v>3411</v>
      </c>
    </row>
  </sheetData>
  <mergeCells count="1">
    <mergeCell ref="A1:C1"/>
  </mergeCells>
  <phoneticPr fontId="143"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41" customWidth="1"/>
    <col min="2" max="16384" width="8.875" style="1941"/>
  </cols>
  <sheetData>
    <row r="1" spans="1:1" ht="23.25">
      <c r="A1" s="1940" t="s">
        <v>1611</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受贵公司委托，我公司对海南省海口市琼山区红城湖片区棚改项目D11-1地块出让国有建设用地使用权及在建建筑物房地产抵押价值进行了预评估。</v>
      </c>
    </row>
    <row r="5" spans="1:1" ht="18.75">
      <c r="A5" s="1945" t="s">
        <v>1612</v>
      </c>
    </row>
    <row r="6" spans="1:1" ht="18.75">
      <c r="A6" s="1946" t="s">
        <v>1613</v>
      </c>
    </row>
    <row r="7" spans="1:1" ht="12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琼山区红城湖片区棚改项目D11-1地块出让国有建设用地使用权及在建建筑物房地产，为海南高和房地产开发有限公司所有。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建筑面积为135929.18平方米。</v>
      </c>
    </row>
    <row r="8" spans="1:1" ht="57.75">
      <c r="A8" s="1947" t="s">
        <v>1614</v>
      </c>
    </row>
    <row r="9" spans="1:1" ht="18.75">
      <c r="A9" s="1946" t="s">
        <v>1615</v>
      </c>
    </row>
    <row r="10" spans="1:1" ht="14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琼山区红城湖片区棚改项目D11-1地块出让国有建设用地使用权及在建建筑物房地产,属海南高和房地产开发有限公司开发建设的居住项目，该项目尚在开发建设中。根据《不动产权证书》[琼（2016）海口市不动产权第0006670号]，估价对象（分摊）出让国有建设用地使用权面积为30136.12平方米。根据《建设工程规划许可证》[建字第460100201700130号]、《国有建设用地使用权出让合同》[合同编号：海口市国让（合）字（2016）89号]、《海口市房屋建筑面积测绘报告（预售报告）》[HZ20180702-01等共11本]，估价对象规划建筑面积为135929.18平方米。</v>
      </c>
    </row>
    <row r="11" spans="1:1" ht="76.5">
      <c r="A11" s="1947" t="s">
        <v>1616</v>
      </c>
    </row>
    <row r="12" spans="1:1" ht="18.75">
      <c r="A12" s="1945" t="s">
        <v>1617</v>
      </c>
    </row>
    <row r="13" spans="1:1" ht="38.25" customHeight="1">
      <c r="A13" s="1948" t="str">
        <f>IF(项目基本情况!B8="抵押",IF(项目基本情况!B5=项目基本情况!B6,定义!C51,定义!B51),定义!D51)</f>
        <v>海南高和房地产开发有限公司拟使用海南省海口市琼山区红城湖片区棚改项目D11-1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2018年11月20日（评估专业人员实地查勘之日）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20日，估价对象规划用途为住宅、商业及地下车库，土地取得方式为出让，出让国有建设用地使用权剩余土地使用年限为住宅67.8年、商业37.8年及地下车库47.8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六通”（即通路、通电、通讯、通上水、通下水、燃气）、红线内场地平整条件下，剩余土地使用年限为住宅67.8年、商业37.8年及地下车库47.8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G22" sqref="G22"/>
    </sheetView>
  </sheetViews>
  <sheetFormatPr defaultColWidth="6.625" defaultRowHeight="12.75"/>
  <cols>
    <col min="1" max="1" width="9.625" style="797" customWidth="1"/>
    <col min="2" max="2" width="25.625" style="950" customWidth="1"/>
    <col min="3" max="3" width="10.375" style="993" customWidth="1"/>
    <col min="4" max="4" width="9.875" style="950" customWidth="1"/>
    <col min="5" max="5" width="9.5" style="797" customWidth="1"/>
    <col min="6" max="6" width="10.125" style="950" customWidth="1"/>
    <col min="7" max="7" width="10.62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2454</v>
      </c>
      <c r="B1" s="1577"/>
      <c r="C1" s="1578"/>
      <c r="D1" s="1576"/>
      <c r="E1" s="319"/>
      <c r="F1" s="319"/>
      <c r="G1" s="1577"/>
      <c r="H1" s="319"/>
      <c r="I1" s="319"/>
      <c r="J1" s="319"/>
      <c r="K1" s="319">
        <f>MATCH(C1,'数据-取费表'!A6:A16,0)+5</f>
        <v>11</v>
      </c>
    </row>
    <row r="2" spans="1:33" ht="18" customHeight="1">
      <c r="A2" s="244" t="s">
        <v>2322</v>
      </c>
      <c r="B2" s="247">
        <f ca="1">C32</f>
        <v>100289</v>
      </c>
      <c r="C2" s="319" t="s">
        <v>2455</v>
      </c>
      <c r="D2" s="319"/>
      <c r="E2" s="319"/>
      <c r="F2" s="319"/>
      <c r="G2" s="319"/>
      <c r="H2" s="319"/>
      <c r="I2" s="319"/>
      <c r="J2" s="319"/>
      <c r="K2" s="319"/>
    </row>
    <row r="3" spans="1:33" ht="18" customHeight="1" thickBot="1">
      <c r="A3" s="246" t="s">
        <v>2324</v>
      </c>
      <c r="B3" s="247">
        <f ca="1">ROUND(B2*10000/IF(C1="",'数据-汇总表'!E3,INDIRECT("'数据-取费表'!K"&amp;$K$1)),0)</f>
        <v>7378</v>
      </c>
      <c r="C3" s="319" t="s">
        <v>2456</v>
      </c>
      <c r="D3" s="319"/>
      <c r="E3" s="319"/>
      <c r="F3" s="319"/>
      <c r="G3" s="319"/>
      <c r="H3" s="319"/>
      <c r="I3" s="319"/>
      <c r="J3" s="319"/>
      <c r="K3" s="319"/>
    </row>
    <row r="4" spans="1:33" s="954" customFormat="1" ht="16.5" customHeight="1">
      <c r="A4" s="951" t="s">
        <v>2457</v>
      </c>
      <c r="B4" s="952"/>
      <c r="C4" s="994">
        <f ca="1">SUM(C8:K8)</f>
        <v>183550.56915200004</v>
      </c>
      <c r="D4" s="952"/>
      <c r="E4" s="952"/>
      <c r="F4" s="952"/>
      <c r="G4" s="952"/>
      <c r="H4" s="952"/>
      <c r="I4" s="952"/>
      <c r="J4" s="952"/>
      <c r="K4" s="953"/>
    </row>
    <row r="5" spans="1:33" s="958" customFormat="1" ht="15">
      <c r="A5" s="955" t="s">
        <v>2458</v>
      </c>
      <c r="B5" s="956" t="s">
        <v>2459</v>
      </c>
      <c r="C5" s="2546" t="s">
        <v>3077</v>
      </c>
      <c r="D5" s="2546" t="s">
        <v>3074</v>
      </c>
      <c r="E5" s="2546" t="s">
        <v>3073</v>
      </c>
      <c r="F5" s="2546" t="s">
        <v>48</v>
      </c>
      <c r="G5" s="2546"/>
      <c r="H5" s="2546"/>
      <c r="I5" s="2546"/>
      <c r="J5" s="2546"/>
      <c r="K5" s="254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f>'比较法-住宅'!B3</f>
        <v>17333</v>
      </c>
      <c r="D6" s="960">
        <f ca="1">'收益法（独立商业）'!B3</f>
        <v>17887</v>
      </c>
      <c r="E6" s="960">
        <f ca="1">'收益法（底商）'!B3</f>
        <v>27207</v>
      </c>
      <c r="F6" s="960">
        <f ca="1">'收益法（地下车库）'!B3</f>
        <v>4031</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81010.510000000009</v>
      </c>
      <c r="D7" s="320">
        <f>SUMIF('数据-汇总表'!$C19:$C33,假设开发法!D5,'数据-汇总表'!$E19:$E33)</f>
        <v>10838.060000000001</v>
      </c>
      <c r="E7" s="320">
        <f>SUMIF('数据-汇总表'!$C19:$C33,假设开发法!E5,'数据-汇总表'!$E19:$E33)</f>
        <v>4990.1900000000005</v>
      </c>
      <c r="F7" s="320">
        <f>SUMIF('数据-汇总表'!$C19:$C33,假设开发法!F5,'数据-汇总表'!$E19:$E33)</f>
        <v>25234.94</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7" t="s">
        <v>2463</v>
      </c>
      <c r="B8" s="176" t="s">
        <v>2464</v>
      </c>
      <c r="C8" s="995">
        <f>C6*C7/10000</f>
        <v>140415.51698300001</v>
      </c>
      <c r="D8" s="995">
        <f t="shared" ref="D8:F8" ca="1" si="0">D6*D7/10000</f>
        <v>19386.037922000003</v>
      </c>
      <c r="E8" s="995">
        <f t="shared" ca="1" si="0"/>
        <v>13576.809933</v>
      </c>
      <c r="F8" s="995">
        <f t="shared" ca="1" si="0"/>
        <v>10172.204314000001</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1334</v>
      </c>
      <c r="B11" s="970" t="s">
        <v>2472</v>
      </c>
      <c r="C11" s="322">
        <f ca="1">IF(C1="",'数据-取费表'!P16,INDIRECT("'数据-取费表'!p"&amp;$K$1)+INDIRECT("'数据-取费表'!ar"&amp;$K$1))</f>
        <v>35429</v>
      </c>
      <c r="D11" s="971"/>
      <c r="E11" s="374"/>
      <c r="F11" s="972">
        <f ca="1">1-IF('数据-取费表'!B24=0,1,IF(C1="",'数据-取费表'!N16,INDIRECT("'数据-取费表'!n"&amp;$K$1)))</f>
        <v>0.96099999999999997</v>
      </c>
      <c r="G11" s="8"/>
      <c r="H11" s="966"/>
      <c r="I11" s="966"/>
      <c r="J11" s="966"/>
      <c r="K11" s="967"/>
    </row>
    <row r="12" spans="1:33" s="973" customFormat="1" ht="13.5" customHeight="1">
      <c r="A12" s="969" t="s">
        <v>1335</v>
      </c>
      <c r="B12" s="970" t="s">
        <v>2473</v>
      </c>
      <c r="C12" s="24">
        <f ca="1">ROUND(C11*F12,0)</f>
        <v>1063</v>
      </c>
      <c r="D12" s="971"/>
      <c r="E12" s="374"/>
      <c r="F12" s="974">
        <f>'数据-取费表'!B33</f>
        <v>0.03</v>
      </c>
      <c r="G12" s="8" t="s">
        <v>2474</v>
      </c>
      <c r="H12" s="966"/>
      <c r="I12" s="966"/>
      <c r="J12" s="966"/>
      <c r="K12" s="967"/>
    </row>
    <row r="13" spans="1:33" s="973" customFormat="1" ht="13.5" customHeight="1">
      <c r="A13" s="969" t="s">
        <v>1336</v>
      </c>
      <c r="B13" s="970" t="s">
        <v>2475</v>
      </c>
      <c r="C13" s="24">
        <f ca="1">ROUND(IF(C1="",SUMIF('数据-取费表'!C:C,"住宅",'数据-取费表'!P:P)*F13,IF(INDIRECT("'数据-取费表'!c"&amp;$K$1)="住宅",INDIRECT("'数据-取费表'!P"&amp;$K$1)*F13,0)),0)</f>
        <v>667</v>
      </c>
      <c r="D13" s="1031"/>
      <c r="E13" s="374"/>
      <c r="F13" s="974">
        <f>'数据-取费表'!B34</f>
        <v>0.03</v>
      </c>
      <c r="G13" s="8" t="s">
        <v>2476</v>
      </c>
      <c r="H13" s="966"/>
      <c r="I13" s="966"/>
      <c r="J13" s="966"/>
      <c r="K13" s="967"/>
    </row>
    <row r="14" spans="1:33" s="975" customFormat="1" ht="13.5" customHeight="1">
      <c r="A14" s="969" t="s">
        <v>1337</v>
      </c>
      <c r="B14" s="970" t="s">
        <v>2477</v>
      </c>
      <c r="C14" s="24">
        <f ca="1">ROUND(D14*E14*F11/10000,0)</f>
        <v>2613</v>
      </c>
      <c r="D14" s="1031">
        <f ca="1">IF(C1="",'数据-汇总表'!E3,INDIRECT("'数据-取费表'!K"&amp;$K$1)+INDIRECT("'数据-取费表'!S"&amp;$K$1))</f>
        <v>135929.18</v>
      </c>
      <c r="E14" s="24">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2479</v>
      </c>
      <c r="C15" s="981">
        <f ca="1">ROUND(C11*F15,0)</f>
        <v>531</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40303</v>
      </c>
      <c r="D16" s="976"/>
      <c r="E16" s="981"/>
      <c r="F16" s="982"/>
      <c r="G16" s="139"/>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4">
        <f ca="1">ROUND(D17*E17/10000,0)</f>
        <v>0</v>
      </c>
      <c r="D17" s="1031">
        <f ca="1">D14</f>
        <v>135929.18</v>
      </c>
      <c r="E17" s="24">
        <f>'数据-取费表'!B32</f>
        <v>0</v>
      </c>
      <c r="F17" s="976"/>
      <c r="G17" s="139" t="s">
        <v>2483</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2484</v>
      </c>
      <c r="C18" s="24">
        <f ca="1">C19+C20-IF(C1="",'数据-取费表'!B29,IF(G18="已全部缴纳",C19+C20,H18))</f>
        <v>609</v>
      </c>
      <c r="D18" s="1031"/>
      <c r="E18" s="24"/>
      <c r="F18" s="974"/>
      <c r="G18" s="2548"/>
      <c r="H18" s="1573"/>
      <c r="I18" s="2549" t="s">
        <v>2485</v>
      </c>
      <c r="J18" s="977"/>
      <c r="K18" s="978"/>
    </row>
    <row r="19" spans="1:33" s="973" customFormat="1" ht="13.5" customHeight="1">
      <c r="A19" s="969" t="s">
        <v>805</v>
      </c>
      <c r="B19" s="970" t="s">
        <v>2486</v>
      </c>
      <c r="C19" s="24">
        <f ca="1">ROUND(D19*E19/10000,0)</f>
        <v>1982</v>
      </c>
      <c r="D19" s="1031">
        <f ca="1">IF(C1="",'数据-汇总表'!E5,IF(INDIRECT("'数据-取费表'!c"&amp;$K$1)="住宅",INDIRECT("'数据-取费表'!k"&amp;$K$1),0))</f>
        <v>90096.790000000008</v>
      </c>
      <c r="E19" s="24">
        <f>'数据-取费表'!B27</f>
        <v>220</v>
      </c>
      <c r="F19" s="974"/>
      <c r="G19" s="15"/>
      <c r="H19" s="1575"/>
      <c r="I19" s="979"/>
      <c r="J19" s="979"/>
      <c r="K19" s="980"/>
    </row>
    <row r="20" spans="1:33" s="973" customFormat="1" ht="13.5" customHeight="1">
      <c r="A20" s="969" t="s">
        <v>806</v>
      </c>
      <c r="B20" s="970" t="s">
        <v>2487</v>
      </c>
      <c r="C20" s="24">
        <f ca="1">ROUND(D20*E20/10000,0)</f>
        <v>1008</v>
      </c>
      <c r="D20" s="1031">
        <f ca="1">IF(C1="",'数据-汇总表'!E6,IF(INDIRECT("'数据-取费表'!c"&amp;$K$1)="住宅",INDIRECT("'数据-取费表'!s"&amp;$K$1),INDIRECT("'数据-取费表'!k"&amp;$K$1)+INDIRECT("'数据-取费表'!s"&amp;$K$1)))</f>
        <v>45832.389999999985</v>
      </c>
      <c r="E20" s="24">
        <f>'数据-取费表'!B28</f>
        <v>220</v>
      </c>
      <c r="F20" s="974"/>
      <c r="G20" s="15"/>
      <c r="H20" s="979"/>
      <c r="I20" s="979"/>
      <c r="J20" s="979"/>
      <c r="K20" s="980"/>
    </row>
    <row r="21" spans="1:33" s="973" customFormat="1" ht="13.5" customHeight="1">
      <c r="A21" s="959" t="s">
        <v>802</v>
      </c>
      <c r="B21" s="983" t="s">
        <v>2488</v>
      </c>
      <c r="C21" s="984">
        <f ca="1">C16+C17+C18</f>
        <v>40912</v>
      </c>
      <c r="D21" s="985"/>
      <c r="E21" s="324"/>
      <c r="F21" s="324"/>
      <c r="G21" s="139" t="s">
        <v>2489</v>
      </c>
      <c r="H21" s="977"/>
      <c r="I21" s="977"/>
      <c r="J21" s="977"/>
      <c r="K21" s="978"/>
    </row>
    <row r="22" spans="1:33" s="973" customFormat="1" ht="13.5" customHeight="1">
      <c r="A22" s="959" t="s">
        <v>2461</v>
      </c>
      <c r="B22" s="983" t="s">
        <v>2490</v>
      </c>
      <c r="C22" s="984">
        <f ca="1">ROUND(C21*F22,0)</f>
        <v>818</v>
      </c>
      <c r="D22" s="324"/>
      <c r="E22" s="324"/>
      <c r="F22" s="986">
        <f>'数据-取费表'!B37</f>
        <v>0.02</v>
      </c>
      <c r="G22" s="8" t="s">
        <v>2491</v>
      </c>
      <c r="H22" s="966"/>
      <c r="I22" s="966"/>
      <c r="J22" s="966"/>
      <c r="K22" s="967"/>
    </row>
    <row r="23" spans="1:33" s="973" customFormat="1" ht="13.5" customHeight="1">
      <c r="A23" s="959" t="s">
        <v>2463</v>
      </c>
      <c r="B23" s="983" t="s">
        <v>2492</v>
      </c>
      <c r="C23" s="984">
        <f ca="1">ROUND(C4*F23*F11,0)</f>
        <v>3528</v>
      </c>
      <c r="D23" s="324"/>
      <c r="E23" s="324"/>
      <c r="F23" s="986">
        <f>'数据-取费表'!B38</f>
        <v>0.02</v>
      </c>
      <c r="G23" s="8" t="s">
        <v>2493</v>
      </c>
      <c r="H23" s="966"/>
      <c r="I23" s="966"/>
      <c r="J23" s="966"/>
      <c r="K23" s="967"/>
    </row>
    <row r="24" spans="1:33" s="973" customFormat="1" ht="13.5" customHeight="1">
      <c r="A24" s="959" t="s">
        <v>2494</v>
      </c>
      <c r="B24" s="983" t="s">
        <v>2495</v>
      </c>
      <c r="C24" s="323">
        <f>ROUND(F24/(1+'数据-取费表'!C42),4)</f>
        <v>2.9000000000000001E-2</v>
      </c>
      <c r="D24" s="324" t="s">
        <v>15</v>
      </c>
      <c r="E24" s="324"/>
      <c r="F24" s="986">
        <f>'数据-取费表'!B48+'数据-取费表'!B49</f>
        <v>3.0499999999999999E-2</v>
      </c>
      <c r="G24" s="8" t="s">
        <v>2496</v>
      </c>
      <c r="H24" s="988"/>
      <c r="I24" s="988"/>
      <c r="J24" s="988"/>
      <c r="K24" s="989"/>
    </row>
    <row r="25" spans="1:33" s="973" customFormat="1" ht="13.5" customHeight="1">
      <c r="A25" s="959" t="s">
        <v>2497</v>
      </c>
      <c r="B25" s="985" t="s">
        <v>2498</v>
      </c>
      <c r="C25" s="1354">
        <f ca="1">C27</f>
        <v>1821</v>
      </c>
      <c r="D25" s="323">
        <f ca="1">C26</f>
        <v>8.4500000000000006E-2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8.4500000000000006E-2</v>
      </c>
      <c r="D26" s="327"/>
      <c r="E26" s="328"/>
      <c r="F26" s="329"/>
      <c r="G26" s="255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2500</v>
      </c>
      <c r="C27" s="1356">
        <f ca="1">ROUND(IF('数据-取费表'!B22&lt;=1,(C21+C22+C23)*F25*'数据-取费表'!B24/2,(C21+C22+C23)*(POWER((1+F25),'数据-取费表'!B24/2)-1)),0)</f>
        <v>1821</v>
      </c>
      <c r="D27" s="327"/>
      <c r="E27" s="328"/>
      <c r="F27" s="329"/>
      <c r="G27" s="2550" t="str">
        <f>IF('数据-取费表'!B22&lt;=1,"（1）-（3）项×年利率×建设期÷2","（1）-（3）项×((1+年利率)^(建设期÷2)-1)")</f>
        <v>（1）-（3）项×((1+年利率)^(建设期÷2)-1)</v>
      </c>
      <c r="H27" s="977"/>
      <c r="I27" s="977"/>
      <c r="J27" s="977"/>
      <c r="K27" s="978"/>
    </row>
    <row r="28" spans="1:33" s="332" customFormat="1" ht="13.5" customHeight="1">
      <c r="A28" s="959" t="s">
        <v>2501</v>
      </c>
      <c r="B28" s="2551" t="s">
        <v>2502</v>
      </c>
      <c r="C28" s="330">
        <f ca="1">C30</f>
        <v>5884</v>
      </c>
      <c r="D28" s="323">
        <f ca="1">C29</f>
        <v>9.0999999999999998E-2</v>
      </c>
      <c r="E28" s="325" t="s">
        <v>15</v>
      </c>
      <c r="F28" s="331">
        <f ca="1">IF(C1="",'数据-取费表'!Q16,INDIRECT("'数据-取费表'!q"&amp;$K$1))</f>
        <v>0.13</v>
      </c>
      <c r="G28" s="987"/>
      <c r="H28" s="988"/>
      <c r="I28" s="988"/>
      <c r="J28" s="988"/>
      <c r="K28" s="989"/>
    </row>
    <row r="29" spans="1:33" s="334" customFormat="1" ht="13.5" customHeight="1">
      <c r="A29" s="969" t="s">
        <v>803</v>
      </c>
      <c r="B29" s="992" t="s">
        <v>2503</v>
      </c>
      <c r="C29" s="327">
        <f ca="1">ROUND((1+C24)*F28*'数据-取费表'!B24/'数据-取费表'!B20,4)</f>
        <v>9.0999999999999998E-2</v>
      </c>
      <c r="D29" s="327"/>
      <c r="E29" s="328"/>
      <c r="F29" s="333"/>
      <c r="G29" s="139" t="s">
        <v>2504</v>
      </c>
      <c r="H29" s="977"/>
      <c r="I29" s="977"/>
      <c r="J29" s="977"/>
      <c r="K29" s="978"/>
    </row>
    <row r="30" spans="1:33" s="334" customFormat="1" ht="13.5" customHeight="1">
      <c r="A30" s="969" t="s">
        <v>804</v>
      </c>
      <c r="B30" s="992" t="s">
        <v>2505</v>
      </c>
      <c r="C30" s="335">
        <f ca="1">ROUND((C21+C22+C23)*F28,0)</f>
        <v>5884</v>
      </c>
      <c r="D30" s="327"/>
      <c r="E30" s="328"/>
      <c r="F30" s="333"/>
      <c r="G30" s="139"/>
      <c r="H30" s="977"/>
      <c r="I30" s="977"/>
      <c r="J30" s="977"/>
      <c r="K30" s="978"/>
    </row>
    <row r="31" spans="1:33" s="973" customFormat="1" ht="13.5" customHeight="1" thickBot="1">
      <c r="A31" s="2552" t="s">
        <v>2506</v>
      </c>
      <c r="B31" s="1003" t="s">
        <v>2507</v>
      </c>
      <c r="C31" s="1004">
        <f ca="1">ROUND(C4*F31/(1+'数据-取费表'!C42),0)</f>
        <v>9789</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100289</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2" zoomScale="85" zoomScaleNormal="85" zoomScalePageLayoutView="90" workbookViewId="0">
      <selection activeCell="G48" sqref="G48"/>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4"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574" t="s">
        <v>2521</v>
      </c>
      <c r="C1" s="1630" t="s">
        <v>2522</v>
      </c>
      <c r="D1" s="1617" t="s">
        <v>3077</v>
      </c>
      <c r="E1" s="2575"/>
      <c r="F1" s="2576" t="s">
        <v>2523</v>
      </c>
      <c r="G1" s="1627" t="s">
        <v>2524</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1394</v>
      </c>
      <c r="B2" s="1415">
        <f>IF(C2="——",ROUND(C49*D3/10000,0),ROUND(C49*D3/10000,0)-D2)</f>
        <v>140416</v>
      </c>
      <c r="C2" s="2578" t="s">
        <v>70</v>
      </c>
      <c r="D2" s="1363" t="e">
        <f ca="1">SUMIF(INDIRECT("'"&amp;F2&amp;"'"&amp;"!A:A"),"承租人权益价值",INDIRECT("'"&amp;F2&amp;"'"&amp;"!c:c"))</f>
        <v>#REF!</v>
      </c>
      <c r="E2" s="2579" t="s">
        <v>2525</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1395</v>
      </c>
      <c r="B3" s="398">
        <f>IF(C2="——",C49,ROUND(B2*10000/D3,0))</f>
        <v>17333</v>
      </c>
      <c r="C3" s="399" t="s">
        <v>2526</v>
      </c>
      <c r="D3" s="398">
        <f>IF(D1="",'数据-汇总表'!E3,SUMIF('数据-汇总表'!$C19:$C33,D1,'数据-汇总表'!$E19:$E33))</f>
        <v>81010.510000000009</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0" t="s">
        <v>2527</v>
      </c>
      <c r="B4" s="401"/>
      <c r="C4" s="3187" t="s">
        <v>2528</v>
      </c>
      <c r="D4" s="3200"/>
      <c r="E4" s="3201" t="s">
        <v>2529</v>
      </c>
      <c r="F4" s="3202"/>
      <c r="G4" s="3187" t="s">
        <v>2530</v>
      </c>
      <c r="H4" s="3200"/>
      <c r="I4" s="3187" t="s">
        <v>2531</v>
      </c>
      <c r="J4" s="3200"/>
      <c r="K4" s="2588" t="s">
        <v>2532</v>
      </c>
      <c r="L4" s="1128"/>
      <c r="M4" s="1129"/>
      <c r="N4" s="1129"/>
      <c r="O4" s="1129"/>
      <c r="P4" s="3203" t="s">
        <v>2533</v>
      </c>
      <c r="Q4" s="3204"/>
      <c r="R4" s="3209" t="s">
        <v>2529</v>
      </c>
      <c r="S4" s="3210"/>
      <c r="T4" s="3209" t="s">
        <v>2530</v>
      </c>
      <c r="U4" s="3210"/>
      <c r="V4" s="3196" t="s">
        <v>2531</v>
      </c>
      <c r="W4" s="3196"/>
      <c r="X4" s="1809"/>
      <c r="Y4" s="3209" t="s">
        <v>2533</v>
      </c>
      <c r="Z4" s="3210"/>
      <c r="AA4" s="3197" t="s">
        <v>2529</v>
      </c>
      <c r="AB4" s="3197" t="s">
        <v>2530</v>
      </c>
      <c r="AC4" s="3197" t="s">
        <v>2531</v>
      </c>
    </row>
    <row r="5" spans="1:29" ht="15">
      <c r="A5" s="403"/>
      <c r="B5" s="404"/>
      <c r="C5" s="3217" t="s">
        <v>2534</v>
      </c>
      <c r="D5" s="3218"/>
      <c r="E5" s="3224" t="s">
        <v>3399</v>
      </c>
      <c r="F5" s="3225"/>
      <c r="G5" s="3217" t="s">
        <v>3403</v>
      </c>
      <c r="H5" s="3218"/>
      <c r="I5" s="3217" t="s">
        <v>3401</v>
      </c>
      <c r="J5" s="3218"/>
      <c r="K5" s="2589"/>
      <c r="L5" s="1128"/>
      <c r="M5" s="1129"/>
      <c r="N5" s="1129"/>
      <c r="O5" s="1129"/>
      <c r="P5" s="3205"/>
      <c r="Q5" s="3206"/>
      <c r="R5" s="3211"/>
      <c r="S5" s="3212"/>
      <c r="T5" s="3211"/>
      <c r="U5" s="3212"/>
      <c r="V5" s="3196"/>
      <c r="W5" s="3196"/>
      <c r="X5" s="1809"/>
      <c r="Y5" s="3211"/>
      <c r="Z5" s="3212"/>
      <c r="AA5" s="3198"/>
      <c r="AB5" s="3198"/>
      <c r="AC5" s="3198"/>
    </row>
    <row r="6" spans="1:29" ht="15.75" thickBot="1">
      <c r="A6" s="405"/>
      <c r="B6" s="406"/>
      <c r="C6" s="3215" t="s">
        <v>2538</v>
      </c>
      <c r="D6" s="3216"/>
      <c r="E6" s="3236" t="s">
        <v>3400</v>
      </c>
      <c r="F6" s="3223"/>
      <c r="G6" s="3235" t="s">
        <v>3404</v>
      </c>
      <c r="H6" s="3216"/>
      <c r="I6" s="3235" t="s">
        <v>3402</v>
      </c>
      <c r="J6" s="3216"/>
      <c r="K6" s="2589" t="s">
        <v>2539</v>
      </c>
      <c r="L6" s="1128"/>
      <c r="M6" s="1129"/>
      <c r="N6" s="1129"/>
      <c r="O6" s="1129"/>
      <c r="P6" s="3207"/>
      <c r="Q6" s="3208"/>
      <c r="R6" s="3211"/>
      <c r="S6" s="3212"/>
      <c r="T6" s="3213"/>
      <c r="U6" s="3214"/>
      <c r="V6" s="3196"/>
      <c r="W6" s="3196"/>
      <c r="X6" s="1809"/>
      <c r="Y6" s="3213"/>
      <c r="Z6" s="3214"/>
      <c r="AA6" s="3199"/>
      <c r="AB6" s="3199"/>
      <c r="AC6" s="3199"/>
    </row>
    <row r="7" spans="1:29" s="116" customFormat="1" ht="15.75" thickBot="1">
      <c r="A7" s="407" t="s">
        <v>2540</v>
      </c>
      <c r="B7" s="408"/>
      <c r="C7" s="409">
        <f>'数据-取费表'!B2</f>
        <v>43424</v>
      </c>
      <c r="D7" s="410">
        <v>100</v>
      </c>
      <c r="E7" s="411">
        <v>43405</v>
      </c>
      <c r="F7" s="412">
        <f>SUMIF(58:58,YEAR(E7)&amp;"-"&amp;MONTH(E7),59:59)</f>
        <v>100</v>
      </c>
      <c r="G7" s="411">
        <f>E7</f>
        <v>43405</v>
      </c>
      <c r="H7" s="410">
        <f>SUMIF(58:58,YEAR(G7)&amp;"-"&amp;MONTH(G7),59:59)</f>
        <v>100</v>
      </c>
      <c r="I7" s="411">
        <f>E7</f>
        <v>43405</v>
      </c>
      <c r="J7" s="410">
        <f>SUMIF(58:58,YEAR(I7)&amp;"-"&amp;MONTH(I7),59:59)</f>
        <v>100</v>
      </c>
      <c r="K7" s="2590"/>
      <c r="L7" s="1130"/>
      <c r="M7" s="1131"/>
      <c r="N7" s="1131"/>
      <c r="O7" s="1131"/>
      <c r="P7" s="3219" t="s">
        <v>2541</v>
      </c>
      <c r="Q7" s="3221"/>
      <c r="R7" s="769" t="s">
        <v>23</v>
      </c>
      <c r="S7" s="770">
        <f t="shared" ref="S7:S15" si="0">F7</f>
        <v>100</v>
      </c>
      <c r="T7" s="769" t="s">
        <v>23</v>
      </c>
      <c r="U7" s="770">
        <f t="shared" ref="U7:U15" si="1">H7</f>
        <v>100</v>
      </c>
      <c r="V7" s="769" t="s">
        <v>23</v>
      </c>
      <c r="W7" s="770">
        <f t="shared" ref="W7:W15" si="2">J7</f>
        <v>100</v>
      </c>
      <c r="X7" s="771"/>
      <c r="Y7" s="3219" t="s">
        <v>2541</v>
      </c>
      <c r="Z7" s="3220"/>
      <c r="AA7" s="772">
        <f>D7/F7</f>
        <v>1</v>
      </c>
      <c r="AB7" s="772">
        <f>D7/H7</f>
        <v>1</v>
      </c>
      <c r="AC7" s="772">
        <f>D7/J7</f>
        <v>1</v>
      </c>
    </row>
    <row r="8" spans="1:29" s="116" customFormat="1" ht="15.75" thickBot="1">
      <c r="A8" s="407" t="s">
        <v>2542</v>
      </c>
      <c r="B8" s="408"/>
      <c r="C8" s="413" t="s">
        <v>2543</v>
      </c>
      <c r="D8" s="410">
        <v>100</v>
      </c>
      <c r="E8" s="2591" t="s">
        <v>3355</v>
      </c>
      <c r="F8" s="412">
        <f>SUMIF(61:61,E8,62:62)-SUMIF(61:61,C8,62:62)+100</f>
        <v>100</v>
      </c>
      <c r="G8" s="2591" t="s">
        <v>3355</v>
      </c>
      <c r="H8" s="410">
        <f>SUMIF(61:61,G8,62:62)-SUMIF(61:61,C8,62:62)+100</f>
        <v>100</v>
      </c>
      <c r="I8" s="2591" t="s">
        <v>3355</v>
      </c>
      <c r="J8" s="410">
        <f>SUMIF(61:61,I8,62:62)-SUMIF(61:61,C8,62:62)+100</f>
        <v>100</v>
      </c>
      <c r="K8" s="2590"/>
      <c r="L8" s="1130"/>
      <c r="M8" s="1131"/>
      <c r="N8" s="1131"/>
      <c r="O8" s="1131"/>
      <c r="P8" s="3219" t="s">
        <v>2544</v>
      </c>
      <c r="Q8" s="3220"/>
      <c r="R8" s="769" t="s">
        <v>23</v>
      </c>
      <c r="S8" s="770">
        <f t="shared" si="0"/>
        <v>100</v>
      </c>
      <c r="T8" s="769" t="s">
        <v>23</v>
      </c>
      <c r="U8" s="770">
        <f t="shared" si="1"/>
        <v>100</v>
      </c>
      <c r="V8" s="769" t="s">
        <v>23</v>
      </c>
      <c r="W8" s="770">
        <f t="shared" si="2"/>
        <v>100</v>
      </c>
      <c r="X8" s="771"/>
      <c r="Y8" s="3219" t="s">
        <v>2544</v>
      </c>
      <c r="Z8" s="3220"/>
      <c r="AA8" s="772">
        <f t="shared" ref="AA8:AA19" si="3">D8/F8</f>
        <v>1</v>
      </c>
      <c r="AB8" s="772">
        <f t="shared" ref="AB8:AB19" si="4">D8/H8</f>
        <v>1</v>
      </c>
      <c r="AC8" s="772">
        <f t="shared" ref="AC8:AC19" si="5">D8/J8</f>
        <v>1</v>
      </c>
    </row>
    <row r="9" spans="1:29" s="116" customFormat="1">
      <c r="A9" s="414" t="s">
        <v>2545</v>
      </c>
      <c r="B9" s="71" t="s">
        <v>2546</v>
      </c>
      <c r="C9" s="2966" t="s">
        <v>3382</v>
      </c>
      <c r="D9" s="134">
        <v>100</v>
      </c>
      <c r="E9" s="416" t="s">
        <v>3072</v>
      </c>
      <c r="F9" s="417">
        <f>SUMIF(63:63,E9,64:64)-SUMIF(63:63,C9,64:64)+100</f>
        <v>100</v>
      </c>
      <c r="G9" s="416" t="s">
        <v>3072</v>
      </c>
      <c r="H9" s="134">
        <f>SUMIF(63:63,G9,64:64)-SUMIF(63:63,C9,64:64)+100</f>
        <v>100</v>
      </c>
      <c r="I9" s="416" t="s">
        <v>3072</v>
      </c>
      <c r="J9" s="134">
        <f>SUMIF(63:63,I9,64:64)-SUMIF(63:63,C9,64:64)+100</f>
        <v>100</v>
      </c>
      <c r="K9" s="2590"/>
      <c r="L9" s="1130"/>
      <c r="M9" s="1131"/>
      <c r="N9" s="1131"/>
      <c r="O9" s="1131"/>
      <c r="P9" s="3189" t="s">
        <v>2547</v>
      </c>
      <c r="Q9" s="1791" t="str">
        <f t="shared" ref="Q9:Q15" si="6">B9</f>
        <v>用途</v>
      </c>
      <c r="R9" s="769" t="s">
        <v>17</v>
      </c>
      <c r="S9" s="770">
        <f t="shared" si="0"/>
        <v>100</v>
      </c>
      <c r="T9" s="769" t="s">
        <v>17</v>
      </c>
      <c r="U9" s="770">
        <f t="shared" si="1"/>
        <v>100</v>
      </c>
      <c r="V9" s="769" t="s">
        <v>17</v>
      </c>
      <c r="W9" s="770">
        <f t="shared" si="2"/>
        <v>100</v>
      </c>
      <c r="X9" s="771"/>
      <c r="Y9" s="3033" t="s">
        <v>2548</v>
      </c>
      <c r="Z9" s="55" t="str">
        <f t="shared" ref="Z9:Z15" si="7">Q9</f>
        <v>用途</v>
      </c>
      <c r="AA9" s="772">
        <f t="shared" si="3"/>
        <v>1</v>
      </c>
      <c r="AB9" s="772">
        <f t="shared" si="4"/>
        <v>1</v>
      </c>
      <c r="AC9" s="772">
        <f t="shared" si="5"/>
        <v>1</v>
      </c>
    </row>
    <row r="10" spans="1:29" s="426" customFormat="1" ht="27">
      <c r="A10" s="420"/>
      <c r="B10" s="421" t="s">
        <v>2549</v>
      </c>
      <c r="C10" s="422" t="s">
        <v>3383</v>
      </c>
      <c r="D10" s="135">
        <v>100</v>
      </c>
      <c r="E10" s="423" t="s">
        <v>3383</v>
      </c>
      <c r="F10" s="424">
        <f>SUMIF(65:65,E10,66:66)-SUMIF(65:65,C10,66:66)+100</f>
        <v>100</v>
      </c>
      <c r="G10" s="423" t="s">
        <v>3383</v>
      </c>
      <c r="H10" s="135">
        <f>SUMIF(65:65,G10,66:66)-SUMIF(65:65,C10,66:66)+100</f>
        <v>100</v>
      </c>
      <c r="I10" s="423" t="s">
        <v>3383</v>
      </c>
      <c r="J10" s="135">
        <f>SUMIF(65:65,I10,66:66)-SUMIF(65:65,C10,66:66)+100</f>
        <v>100</v>
      </c>
      <c r="K10" s="425">
        <v>1</v>
      </c>
      <c r="L10" s="1133"/>
      <c r="M10" s="1134"/>
      <c r="N10" s="1134"/>
      <c r="O10" s="1134"/>
      <c r="P10" s="3189"/>
      <c r="Q10" s="1791"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75" thickBot="1">
      <c r="A11" s="427"/>
      <c r="B11" s="421" t="s">
        <v>2550</v>
      </c>
      <c r="C11" s="428">
        <f>'土地比较法-住宅、综合'!C11</f>
        <v>3.52</v>
      </c>
      <c r="D11" s="135">
        <v>100</v>
      </c>
      <c r="E11" s="429">
        <v>3.27</v>
      </c>
      <c r="F11" s="424">
        <f>LOOKUP(E11,68:68,69:69)-LOOKUP(C11,68:68,69:69)+100</f>
        <v>100</v>
      </c>
      <c r="G11" s="428"/>
      <c r="H11" s="135">
        <f>LOOKUP(G11,68:68,69:69)-LOOKUP(C11,68:68,69:69)+100</f>
        <v>100</v>
      </c>
      <c r="I11" s="428">
        <v>3.29</v>
      </c>
      <c r="J11" s="135">
        <f>LOOKUP(I11,68:68,69:69)-LOOKUP(C11,68:68,69:69)+100</f>
        <v>100</v>
      </c>
      <c r="K11" s="425"/>
      <c r="L11" s="1136"/>
      <c r="M11" s="1129"/>
      <c r="N11" s="1129"/>
      <c r="O11" s="1129"/>
      <c r="P11" s="3189"/>
      <c r="Q11" s="1791" t="str">
        <f t="shared" si="6"/>
        <v>容积率</v>
      </c>
      <c r="R11" s="769" t="s">
        <v>21</v>
      </c>
      <c r="S11" s="770">
        <f t="shared" si="0"/>
        <v>100</v>
      </c>
      <c r="T11" s="769" t="s">
        <v>21</v>
      </c>
      <c r="U11" s="770">
        <f t="shared" si="1"/>
        <v>100</v>
      </c>
      <c r="V11" s="769" t="s">
        <v>21</v>
      </c>
      <c r="W11" s="770">
        <f t="shared" si="2"/>
        <v>100</v>
      </c>
      <c r="X11" s="771"/>
      <c r="Y11" s="3033"/>
      <c r="Z11" s="55" t="str">
        <f t="shared" si="7"/>
        <v>容积率</v>
      </c>
      <c r="AA11" s="772">
        <f t="shared" si="3"/>
        <v>1</v>
      </c>
      <c r="AB11" s="772">
        <f t="shared" si="4"/>
        <v>1</v>
      </c>
      <c r="AC11" s="772">
        <f t="shared" si="5"/>
        <v>1</v>
      </c>
    </row>
    <row r="12" spans="1:29" s="116" customFormat="1" ht="15" hidden="1">
      <c r="A12" s="430"/>
      <c r="B12" s="2592"/>
      <c r="C12" s="431"/>
      <c r="D12" s="432">
        <v>100</v>
      </c>
      <c r="E12" s="431"/>
      <c r="F12" s="424">
        <f>SUMIF(70:70,E12,71:71)-SUMIF(70:70,C12,71:71)+100</f>
        <v>100</v>
      </c>
      <c r="G12" s="431"/>
      <c r="H12" s="135">
        <f>SUMIF(70:70,G12,71:71)-SUMIF(70:70,C12,71:71)+100</f>
        <v>100</v>
      </c>
      <c r="I12" s="431"/>
      <c r="J12" s="135">
        <f>SUMIF(70:70,I12,71:71)-SUMIF(70:70,C12,71:71)+100</f>
        <v>100</v>
      </c>
      <c r="K12" s="2593"/>
      <c r="L12" s="1130"/>
      <c r="M12" s="1131"/>
      <c r="N12" s="1131"/>
      <c r="O12" s="1131"/>
      <c r="P12" s="3189"/>
      <c r="Q12" s="1791">
        <f t="shared" si="6"/>
        <v>0</v>
      </c>
      <c r="R12" s="769" t="s">
        <v>21</v>
      </c>
      <c r="S12" s="770">
        <f t="shared" si="0"/>
        <v>100</v>
      </c>
      <c r="T12" s="769" t="s">
        <v>21</v>
      </c>
      <c r="U12" s="770">
        <f t="shared" si="1"/>
        <v>100</v>
      </c>
      <c r="V12" s="769" t="s">
        <v>21</v>
      </c>
      <c r="W12" s="770">
        <f t="shared" si="2"/>
        <v>100</v>
      </c>
      <c r="X12" s="771"/>
      <c r="Y12" s="3033"/>
      <c r="Z12" s="55">
        <f t="shared" si="7"/>
        <v>0</v>
      </c>
      <c r="AA12" s="772">
        <f>D12/F12</f>
        <v>1</v>
      </c>
      <c r="AB12" s="772">
        <f>D12/H12</f>
        <v>1</v>
      </c>
      <c r="AC12" s="772">
        <f>D12/J12</f>
        <v>1</v>
      </c>
    </row>
    <row r="13" spans="1:29" ht="15" hidden="1">
      <c r="A13" s="427"/>
      <c r="B13" s="2592"/>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189"/>
      <c r="Q13" s="1791">
        <f t="shared" si="6"/>
        <v>0</v>
      </c>
      <c r="R13" s="769" t="s">
        <v>21</v>
      </c>
      <c r="S13" s="770">
        <f t="shared" si="0"/>
        <v>100</v>
      </c>
      <c r="T13" s="769" t="s">
        <v>21</v>
      </c>
      <c r="U13" s="770">
        <f t="shared" si="1"/>
        <v>100</v>
      </c>
      <c r="V13" s="769" t="s">
        <v>21</v>
      </c>
      <c r="W13" s="770">
        <f t="shared" si="2"/>
        <v>100</v>
      </c>
      <c r="X13" s="771"/>
      <c r="Y13" s="3033"/>
      <c r="Z13" s="55">
        <f t="shared" si="7"/>
        <v>0</v>
      </c>
      <c r="AA13" s="772">
        <f t="shared" si="3"/>
        <v>1</v>
      </c>
      <c r="AB13" s="772">
        <f t="shared" si="4"/>
        <v>1</v>
      </c>
      <c r="AC13" s="772">
        <f t="shared" si="5"/>
        <v>1</v>
      </c>
    </row>
    <row r="14" spans="1:29" ht="15.75" hidden="1" thickBot="1">
      <c r="A14" s="435"/>
      <c r="B14" s="2594"/>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189"/>
      <c r="Q14" s="1791">
        <f t="shared" si="6"/>
        <v>0</v>
      </c>
      <c r="R14" s="769" t="s">
        <v>21</v>
      </c>
      <c r="S14" s="770">
        <f t="shared" si="0"/>
        <v>100</v>
      </c>
      <c r="T14" s="769" t="s">
        <v>21</v>
      </c>
      <c r="U14" s="770">
        <f t="shared" si="1"/>
        <v>100</v>
      </c>
      <c r="V14" s="769" t="s">
        <v>21</v>
      </c>
      <c r="W14" s="770">
        <f t="shared" si="2"/>
        <v>100</v>
      </c>
      <c r="X14" s="771"/>
      <c r="Y14" s="3033"/>
      <c r="Z14" s="55">
        <f t="shared" si="7"/>
        <v>0</v>
      </c>
      <c r="AA14" s="772">
        <f t="shared" si="3"/>
        <v>1</v>
      </c>
      <c r="AB14" s="772">
        <f t="shared" si="4"/>
        <v>1</v>
      </c>
      <c r="AC14" s="772">
        <f t="shared" si="5"/>
        <v>1</v>
      </c>
    </row>
    <row r="15" spans="1:29" ht="99.75">
      <c r="A15" s="439" t="s">
        <v>2551</v>
      </c>
      <c r="B15" s="69" t="s">
        <v>2081</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38"/>
      <c r="M15" s="1129"/>
      <c r="N15" s="1129"/>
      <c r="O15" s="1129"/>
      <c r="P15" s="3233" t="s">
        <v>2552</v>
      </c>
      <c r="Q15" s="1806" t="str">
        <f t="shared" si="6"/>
        <v>居住社区成熟度</v>
      </c>
      <c r="R15" s="773" t="s">
        <v>21</v>
      </c>
      <c r="S15" s="774">
        <f t="shared" si="0"/>
        <v>100</v>
      </c>
      <c r="T15" s="773" t="s">
        <v>21</v>
      </c>
      <c r="U15" s="774">
        <f t="shared" si="1"/>
        <v>100</v>
      </c>
      <c r="V15" s="773" t="s">
        <v>21</v>
      </c>
      <c r="W15" s="774">
        <f t="shared" si="2"/>
        <v>100</v>
      </c>
      <c r="X15" s="1809"/>
      <c r="Y15" s="3192" t="s">
        <v>2552</v>
      </c>
      <c r="Z15" s="1810" t="str">
        <f t="shared" si="7"/>
        <v>居住社区成熟度</v>
      </c>
      <c r="AA15" s="1807">
        <f t="shared" si="3"/>
        <v>1</v>
      </c>
      <c r="AB15" s="1807">
        <f t="shared" si="4"/>
        <v>1</v>
      </c>
      <c r="AC15" s="1807">
        <f t="shared" si="5"/>
        <v>1</v>
      </c>
    </row>
    <row r="16" spans="1:29" ht="15">
      <c r="A16" s="427"/>
      <c r="B16" s="445"/>
      <c r="C16" s="446" t="s">
        <v>3360</v>
      </c>
      <c r="D16" s="447"/>
      <c r="E16" s="446" t="s">
        <v>3360</v>
      </c>
      <c r="F16" s="447"/>
      <c r="G16" s="446" t="s">
        <v>3360</v>
      </c>
      <c r="H16" s="449"/>
      <c r="I16" s="446" t="s">
        <v>3360</v>
      </c>
      <c r="J16" s="447"/>
      <c r="K16" s="2598"/>
      <c r="L16" s="1138"/>
      <c r="M16" s="1129"/>
      <c r="N16" s="1129"/>
      <c r="O16" s="1129"/>
      <c r="P16" s="3234"/>
      <c r="Q16" s="1806"/>
      <c r="R16" s="773"/>
      <c r="S16" s="774"/>
      <c r="T16" s="773"/>
      <c r="U16" s="774"/>
      <c r="V16" s="773"/>
      <c r="W16" s="774"/>
      <c r="X16" s="1809"/>
      <c r="Y16" s="3193"/>
      <c r="Z16" s="1810"/>
      <c r="AA16" s="1807">
        <v>1</v>
      </c>
      <c r="AB16" s="1807">
        <v>1</v>
      </c>
      <c r="AC16" s="1807">
        <v>1</v>
      </c>
    </row>
    <row r="17" spans="1:29" ht="85.5">
      <c r="A17" s="427"/>
      <c r="B17" s="450" t="s">
        <v>2093</v>
      </c>
      <c r="C17" s="2599"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100</v>
      </c>
      <c r="I17" s="453"/>
      <c r="J17" s="454">
        <f>SUMIF(78:78,I18,79:79)-SUMIF(78:78,C18,79:79)+100</f>
        <v>100</v>
      </c>
      <c r="K17" s="444">
        <v>5</v>
      </c>
      <c r="L17" s="1138"/>
      <c r="M17" s="1129"/>
      <c r="N17" s="1129"/>
      <c r="O17" s="1129"/>
      <c r="P17" s="3234"/>
      <c r="Q17" s="1806" t="str">
        <f>B17</f>
        <v>交通便捷度</v>
      </c>
      <c r="R17" s="773" t="s">
        <v>21</v>
      </c>
      <c r="S17" s="774">
        <f>F17</f>
        <v>100</v>
      </c>
      <c r="T17" s="773" t="s">
        <v>21</v>
      </c>
      <c r="U17" s="774">
        <f>H17</f>
        <v>100</v>
      </c>
      <c r="V17" s="773" t="s">
        <v>21</v>
      </c>
      <c r="W17" s="774">
        <f>J17</f>
        <v>100</v>
      </c>
      <c r="X17" s="1809"/>
      <c r="Y17" s="3193"/>
      <c r="Z17" s="1810" t="str">
        <f>Q17</f>
        <v>交通便捷度</v>
      </c>
      <c r="AA17" s="1807">
        <f t="shared" si="3"/>
        <v>1</v>
      </c>
      <c r="AB17" s="1807">
        <f t="shared" si="4"/>
        <v>1</v>
      </c>
      <c r="AC17" s="1807">
        <f t="shared" si="5"/>
        <v>1</v>
      </c>
    </row>
    <row r="18" spans="1:29" ht="15">
      <c r="A18" s="427"/>
      <c r="B18" s="455"/>
      <c r="C18" s="446" t="s">
        <v>3360</v>
      </c>
      <c r="D18" s="449"/>
      <c r="E18" s="446" t="s">
        <v>3360</v>
      </c>
      <c r="F18" s="449"/>
      <c r="G18" s="446" t="s">
        <v>3360</v>
      </c>
      <c r="H18" s="447"/>
      <c r="I18" s="446" t="s">
        <v>3360</v>
      </c>
      <c r="J18" s="447"/>
      <c r="K18" s="2598"/>
      <c r="L18" s="1138"/>
      <c r="M18" s="1129"/>
      <c r="N18" s="1129"/>
      <c r="O18" s="1129"/>
      <c r="P18" s="3234"/>
      <c r="Q18" s="1806"/>
      <c r="R18" s="773"/>
      <c r="S18" s="774"/>
      <c r="T18" s="773"/>
      <c r="U18" s="774"/>
      <c r="V18" s="773"/>
      <c r="W18" s="774"/>
      <c r="X18" s="1809"/>
      <c r="Y18" s="3193"/>
      <c r="Z18" s="1810"/>
      <c r="AA18" s="1807">
        <v>1</v>
      </c>
      <c r="AB18" s="1807">
        <v>1</v>
      </c>
      <c r="AC18" s="1807">
        <v>1</v>
      </c>
    </row>
    <row r="19" spans="1:29" ht="42.75">
      <c r="A19" s="427"/>
      <c r="B19" s="450" t="s">
        <v>2091</v>
      </c>
      <c r="C19" s="2599" t="str">
        <f>估价对象房地状况!C7</f>
        <v>估价对象所在区域公共配套设施齐备情况</v>
      </c>
      <c r="D19" s="454">
        <v>100</v>
      </c>
      <c r="E19" s="458"/>
      <c r="F19" s="454">
        <f>SUMIF(80:80,E20,81:81)-SUMIF(80:80,C20,81:81)+100</f>
        <v>100</v>
      </c>
      <c r="G19" s="458"/>
      <c r="H19" s="449">
        <f>SUMIF(80:80,G20,81:81)-SUMIF(80:80,C20,81:81)+100</f>
        <v>100</v>
      </c>
      <c r="I19" s="458"/>
      <c r="J19" s="449">
        <f>SUMIF(80:80,I20,81:81)-SUMIF(80:80,C20,81:81)+100</f>
        <v>100</v>
      </c>
      <c r="K19" s="444">
        <v>5</v>
      </c>
      <c r="L19" s="1138"/>
      <c r="M19" s="1129"/>
      <c r="N19" s="1129"/>
      <c r="O19" s="1129"/>
      <c r="P19" s="3234"/>
      <c r="Q19" s="1806" t="str">
        <f>B19</f>
        <v>公共配套设施</v>
      </c>
      <c r="R19" s="773" t="s">
        <v>21</v>
      </c>
      <c r="S19" s="774">
        <f>F19</f>
        <v>100</v>
      </c>
      <c r="T19" s="773" t="s">
        <v>21</v>
      </c>
      <c r="U19" s="774">
        <f>H19</f>
        <v>100</v>
      </c>
      <c r="V19" s="773" t="s">
        <v>21</v>
      </c>
      <c r="W19" s="774">
        <f>J19</f>
        <v>100</v>
      </c>
      <c r="X19" s="1809"/>
      <c r="Y19" s="3193"/>
      <c r="Z19" s="1810" t="str">
        <f>Q19</f>
        <v>公共配套设施</v>
      </c>
      <c r="AA19" s="1807">
        <f t="shared" si="3"/>
        <v>1</v>
      </c>
      <c r="AB19" s="1807">
        <f t="shared" si="4"/>
        <v>1</v>
      </c>
      <c r="AC19" s="1807">
        <f t="shared" si="5"/>
        <v>1</v>
      </c>
    </row>
    <row r="20" spans="1:29" ht="15">
      <c r="A20" s="427"/>
      <c r="B20" s="455"/>
      <c r="C20" s="446" t="s">
        <v>3360</v>
      </c>
      <c r="D20" s="447"/>
      <c r="E20" s="446" t="s">
        <v>3360</v>
      </c>
      <c r="F20" s="447"/>
      <c r="G20" s="446" t="s">
        <v>3360</v>
      </c>
      <c r="H20" s="447"/>
      <c r="I20" s="446" t="s">
        <v>3360</v>
      </c>
      <c r="J20" s="447"/>
      <c r="K20" s="2598"/>
      <c r="L20" s="1138"/>
      <c r="M20" s="1129"/>
      <c r="N20" s="1129"/>
      <c r="O20" s="1129"/>
      <c r="P20" s="3234"/>
      <c r="Q20" s="1806"/>
      <c r="R20" s="773"/>
      <c r="S20" s="774"/>
      <c r="T20" s="773"/>
      <c r="U20" s="774"/>
      <c r="V20" s="773"/>
      <c r="W20" s="774"/>
      <c r="X20" s="1809"/>
      <c r="Y20" s="3193"/>
      <c r="Z20" s="1810"/>
      <c r="AA20" s="1807">
        <v>1</v>
      </c>
      <c r="AB20" s="1807">
        <v>1</v>
      </c>
      <c r="AC20" s="1807">
        <v>1</v>
      </c>
    </row>
    <row r="21" spans="1:29" ht="28.5">
      <c r="A21" s="427"/>
      <c r="B21" s="1382" t="s">
        <v>2094</v>
      </c>
      <c r="C21" s="2599"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2</v>
      </c>
      <c r="L21" s="1138"/>
      <c r="M21" s="1129"/>
      <c r="N21" s="1129"/>
      <c r="O21" s="1129"/>
      <c r="P21" s="3234"/>
      <c r="Q21" s="1806" t="str">
        <f>B21</f>
        <v>基础设施水平</v>
      </c>
      <c r="R21" s="773" t="s">
        <v>17</v>
      </c>
      <c r="S21" s="774">
        <f>F21</f>
        <v>100</v>
      </c>
      <c r="T21" s="773" t="s">
        <v>17</v>
      </c>
      <c r="U21" s="774">
        <f>H21</f>
        <v>100</v>
      </c>
      <c r="V21" s="773" t="s">
        <v>17</v>
      </c>
      <c r="W21" s="774">
        <f>J21</f>
        <v>100</v>
      </c>
      <c r="X21" s="1809"/>
      <c r="Y21" s="3193"/>
      <c r="Z21" s="1810" t="str">
        <f>Q21</f>
        <v>基础设施水平</v>
      </c>
      <c r="AA21" s="1807">
        <f t="shared" ref="AA21" si="8">D21/F21</f>
        <v>1</v>
      </c>
      <c r="AB21" s="1807">
        <f t="shared" ref="AB21" si="9">D21/H21</f>
        <v>1</v>
      </c>
      <c r="AC21" s="1807">
        <f t="shared" ref="AC21" si="10">D21/J21</f>
        <v>1</v>
      </c>
    </row>
    <row r="22" spans="1:29" ht="15">
      <c r="A22" s="427"/>
      <c r="B22" s="1382"/>
      <c r="C22" s="2600" t="s">
        <v>3363</v>
      </c>
      <c r="D22" s="447"/>
      <c r="E22" s="446" t="s">
        <v>3363</v>
      </c>
      <c r="F22" s="447"/>
      <c r="G22" s="446" t="s">
        <v>3363</v>
      </c>
      <c r="H22" s="447"/>
      <c r="I22" s="446" t="s">
        <v>3363</v>
      </c>
      <c r="J22" s="447"/>
      <c r="K22" s="2604"/>
      <c r="L22" s="1138"/>
      <c r="M22" s="1129"/>
      <c r="N22" s="1129"/>
      <c r="O22" s="1129"/>
      <c r="P22" s="3234"/>
      <c r="Q22" s="1806"/>
      <c r="R22" s="773"/>
      <c r="S22" s="774"/>
      <c r="T22" s="773"/>
      <c r="U22" s="774"/>
      <c r="V22" s="773"/>
      <c r="W22" s="774"/>
      <c r="X22" s="1809"/>
      <c r="Y22" s="3193"/>
      <c r="Z22" s="1810"/>
      <c r="AA22" s="1807">
        <v>1</v>
      </c>
      <c r="AB22" s="1807">
        <v>1</v>
      </c>
      <c r="AC22" s="1807">
        <v>1</v>
      </c>
    </row>
    <row r="23" spans="1:29" ht="57">
      <c r="A23" s="427"/>
      <c r="B23" s="450" t="s">
        <v>2098</v>
      </c>
      <c r="C23" s="2599" t="str">
        <f>估价对象房地状况!C9</f>
        <v>区域自然环境：；人文环境；综合评价环境状况一般</v>
      </c>
      <c r="D23" s="449">
        <v>100</v>
      </c>
      <c r="E23" s="453"/>
      <c r="F23" s="449">
        <f>SUMIF(84:84,E24,85:85)-SUMIF(84:84,C24,85:85)+100</f>
        <v>100</v>
      </c>
      <c r="G23" s="453"/>
      <c r="H23" s="449">
        <f>SUMIF(84:84,G24,85:85)-SUMIF(84:84,C24,85:85)+100</f>
        <v>100</v>
      </c>
      <c r="I23" s="453"/>
      <c r="J23" s="449">
        <f>SUMIF(84:84,I24,85:85)-SUMIF(84:84,C24,85:85)+100</f>
        <v>100</v>
      </c>
      <c r="K23" s="444">
        <v>3</v>
      </c>
      <c r="L23" s="1138"/>
      <c r="M23" s="1129"/>
      <c r="N23" s="1129"/>
      <c r="O23" s="1129"/>
      <c r="P23" s="3234"/>
      <c r="Q23" s="1806" t="str">
        <f>B23</f>
        <v>自然及人文环境</v>
      </c>
      <c r="R23" s="773" t="s">
        <v>21</v>
      </c>
      <c r="S23" s="774">
        <f>F23</f>
        <v>100</v>
      </c>
      <c r="T23" s="773" t="s">
        <v>21</v>
      </c>
      <c r="U23" s="774">
        <f>H23</f>
        <v>100</v>
      </c>
      <c r="V23" s="773" t="s">
        <v>21</v>
      </c>
      <c r="W23" s="774">
        <f>J23</f>
        <v>100</v>
      </c>
      <c r="X23" s="1809"/>
      <c r="Y23" s="3193"/>
      <c r="Z23" s="1810" t="str">
        <f>Q23</f>
        <v>自然及人文环境</v>
      </c>
      <c r="AA23" s="1807">
        <f>D23/F23</f>
        <v>1</v>
      </c>
      <c r="AB23" s="1807">
        <f>D23/H23</f>
        <v>1</v>
      </c>
      <c r="AC23" s="1807">
        <f>D23/J23</f>
        <v>1</v>
      </c>
    </row>
    <row r="24" spans="1:29" ht="15.75" thickBot="1">
      <c r="A24" s="427"/>
      <c r="B24" s="455"/>
      <c r="C24" s="446" t="s">
        <v>3360</v>
      </c>
      <c r="D24" s="447"/>
      <c r="E24" s="2596" t="s">
        <v>3360</v>
      </c>
      <c r="F24" s="447"/>
      <c r="G24" s="2596" t="s">
        <v>3360</v>
      </c>
      <c r="H24" s="447"/>
      <c r="I24" s="2596" t="s">
        <v>3360</v>
      </c>
      <c r="J24" s="447"/>
      <c r="K24" s="2598"/>
      <c r="L24" s="1138"/>
      <c r="M24" s="1129"/>
      <c r="N24" s="1129"/>
      <c r="O24" s="1129"/>
      <c r="P24" s="3234"/>
      <c r="Q24" s="1806"/>
      <c r="R24" s="773"/>
      <c r="S24" s="774"/>
      <c r="T24" s="773"/>
      <c r="U24" s="774"/>
      <c r="V24" s="773"/>
      <c r="W24" s="774"/>
      <c r="X24" s="1809"/>
      <c r="Y24" s="3193"/>
      <c r="Z24" s="1810"/>
      <c r="AA24" s="1807">
        <v>1</v>
      </c>
      <c r="AB24" s="1807">
        <v>1</v>
      </c>
      <c r="AC24" s="1807">
        <v>1</v>
      </c>
    </row>
    <row r="25" spans="1:29" ht="15" hidden="1">
      <c r="A25" s="427"/>
      <c r="B25" s="421" t="s">
        <v>2553</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234"/>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193"/>
      <c r="Z25" s="1810" t="str">
        <f>Q25</f>
        <v>楼层-1</v>
      </c>
      <c r="AA25" s="1807">
        <f t="shared" ref="AA25:AA46" si="15">D25/F25</f>
        <v>1</v>
      </c>
      <c r="AB25" s="1807">
        <f t="shared" ref="AB25:AB46" si="16">D25/H25</f>
        <v>1</v>
      </c>
      <c r="AC25" s="1807">
        <f t="shared" ref="AC25:AC46" si="17">D25/J25</f>
        <v>1</v>
      </c>
    </row>
    <row r="26" spans="1:29" ht="15.75" hidden="1" thickBot="1">
      <c r="A26" s="427"/>
      <c r="B26" s="421" t="s">
        <v>2554</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234"/>
      <c r="Q26" s="1806" t="str">
        <f t="shared" si="11"/>
        <v>朝向</v>
      </c>
      <c r="R26" s="773" t="s">
        <v>21</v>
      </c>
      <c r="S26" s="774">
        <f t="shared" si="12"/>
        <v>100</v>
      </c>
      <c r="T26" s="773" t="s">
        <v>21</v>
      </c>
      <c r="U26" s="774">
        <f t="shared" si="13"/>
        <v>100</v>
      </c>
      <c r="V26" s="773" t="s">
        <v>21</v>
      </c>
      <c r="W26" s="774">
        <f t="shared" si="14"/>
        <v>100</v>
      </c>
      <c r="X26" s="1809"/>
      <c r="Y26" s="3193"/>
      <c r="Z26" s="1810" t="str">
        <f>Q26</f>
        <v>朝向</v>
      </c>
      <c r="AA26" s="1807">
        <f t="shared" si="15"/>
        <v>1</v>
      </c>
      <c r="AB26" s="1807">
        <f t="shared" si="16"/>
        <v>1</v>
      </c>
      <c r="AC26" s="1807">
        <f t="shared" si="17"/>
        <v>1</v>
      </c>
    </row>
    <row r="27" spans="1:29" s="116" customFormat="1" ht="15" hidden="1">
      <c r="A27" s="430"/>
      <c r="B27" s="1384"/>
      <c r="C27" s="431"/>
      <c r="D27" s="461">
        <v>100</v>
      </c>
      <c r="E27" s="464"/>
      <c r="F27" s="461">
        <f>SUMIF(90:90,E27,91:91)-SUMIF(90:90,C27,91:91)+100</f>
        <v>100</v>
      </c>
      <c r="G27" s="462"/>
      <c r="H27" s="461">
        <f>SUMIF(90:90,G27,91:91)-SUMIF(90:90,C27,91:91)+100</f>
        <v>100</v>
      </c>
      <c r="I27" s="462"/>
      <c r="J27" s="461">
        <f>SUMIF(90:90,I27,91:91)-SUMIF(90:90,C27,91:91)+100</f>
        <v>100</v>
      </c>
      <c r="K27" s="2593"/>
      <c r="L27" s="1130"/>
      <c r="M27" s="1131"/>
      <c r="N27" s="1131"/>
      <c r="O27" s="1131"/>
      <c r="P27" s="3234"/>
      <c r="Q27" s="1791">
        <f t="shared" si="11"/>
        <v>0</v>
      </c>
      <c r="R27" s="769" t="s">
        <v>21</v>
      </c>
      <c r="S27" s="770">
        <f t="shared" si="12"/>
        <v>100</v>
      </c>
      <c r="T27" s="769" t="s">
        <v>21</v>
      </c>
      <c r="U27" s="770">
        <f t="shared" si="13"/>
        <v>100</v>
      </c>
      <c r="V27" s="769" t="s">
        <v>21</v>
      </c>
      <c r="W27" s="770">
        <f t="shared" si="14"/>
        <v>100</v>
      </c>
      <c r="X27" s="771"/>
      <c r="Y27" s="3193"/>
      <c r="Z27" s="55">
        <f>Q27</f>
        <v>0</v>
      </c>
      <c r="AA27" s="1807">
        <f t="shared" si="15"/>
        <v>1</v>
      </c>
      <c r="AB27" s="1807">
        <f t="shared" si="16"/>
        <v>1</v>
      </c>
      <c r="AC27" s="1807">
        <f t="shared" si="17"/>
        <v>1</v>
      </c>
    </row>
    <row r="28" spans="1:29" ht="15" hidden="1">
      <c r="A28" s="427"/>
      <c r="B28" s="1384"/>
      <c r="C28" s="433"/>
      <c r="D28" s="434">
        <v>100</v>
      </c>
      <c r="E28" s="433"/>
      <c r="F28" s="434">
        <f>SUMIF(92:92,E28,93:93)-SUMIF(92:92,C28,93:93)+100</f>
        <v>100</v>
      </c>
      <c r="G28" s="2607"/>
      <c r="H28" s="434">
        <f>SUMIF(92:92,G28,93:93)-SUMIF(92:92,C28,93:93)+100</f>
        <v>100</v>
      </c>
      <c r="I28" s="433"/>
      <c r="J28" s="434">
        <f>SUMIF(92:92,I28,93:93)-SUMIF(92:92,C28,93:93)+100</f>
        <v>100</v>
      </c>
      <c r="K28" s="2593"/>
      <c r="L28" s="1138"/>
      <c r="M28" s="1129"/>
      <c r="N28" s="1129"/>
      <c r="O28" s="1129"/>
      <c r="P28" s="3234"/>
      <c r="Q28" s="1806">
        <f t="shared" si="11"/>
        <v>0</v>
      </c>
      <c r="R28" s="773" t="s">
        <v>21</v>
      </c>
      <c r="S28" s="774">
        <f t="shared" si="12"/>
        <v>100</v>
      </c>
      <c r="T28" s="773" t="s">
        <v>21</v>
      </c>
      <c r="U28" s="774">
        <f t="shared" si="13"/>
        <v>100</v>
      </c>
      <c r="V28" s="773" t="s">
        <v>21</v>
      </c>
      <c r="W28" s="774">
        <f t="shared" si="14"/>
        <v>100</v>
      </c>
      <c r="X28" s="1809"/>
      <c r="Y28" s="3193"/>
      <c r="Z28" s="1810">
        <f t="shared" ref="Z28:Z46" si="18">Q28</f>
        <v>0</v>
      </c>
      <c r="AA28" s="1807">
        <f t="shared" si="15"/>
        <v>1</v>
      </c>
      <c r="AB28" s="1807">
        <f t="shared" si="16"/>
        <v>1</v>
      </c>
      <c r="AC28" s="1807">
        <f t="shared" si="17"/>
        <v>1</v>
      </c>
    </row>
    <row r="29" spans="1:29" ht="15" hidden="1">
      <c r="A29" s="427"/>
      <c r="B29" s="1384"/>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234"/>
      <c r="Q29" s="1806">
        <f t="shared" si="11"/>
        <v>0</v>
      </c>
      <c r="R29" s="773" t="s">
        <v>21</v>
      </c>
      <c r="S29" s="774">
        <f t="shared" si="12"/>
        <v>100</v>
      </c>
      <c r="T29" s="773" t="s">
        <v>21</v>
      </c>
      <c r="U29" s="774">
        <f t="shared" si="13"/>
        <v>100</v>
      </c>
      <c r="V29" s="773" t="s">
        <v>21</v>
      </c>
      <c r="W29" s="774">
        <f t="shared" si="14"/>
        <v>100</v>
      </c>
      <c r="X29" s="1809"/>
      <c r="Y29" s="3193"/>
      <c r="Z29" s="1810">
        <f t="shared" si="18"/>
        <v>0</v>
      </c>
      <c r="AA29" s="1807">
        <f t="shared" si="15"/>
        <v>1</v>
      </c>
      <c r="AB29" s="1807">
        <f t="shared" si="16"/>
        <v>1</v>
      </c>
      <c r="AC29" s="1807">
        <f t="shared" si="17"/>
        <v>1</v>
      </c>
    </row>
    <row r="30" spans="1:29" ht="15" hidden="1">
      <c r="A30" s="427"/>
      <c r="B30" s="1384"/>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234"/>
      <c r="Q30" s="1806">
        <f t="shared" si="11"/>
        <v>0</v>
      </c>
      <c r="R30" s="773" t="s">
        <v>21</v>
      </c>
      <c r="S30" s="774">
        <f t="shared" si="12"/>
        <v>100</v>
      </c>
      <c r="T30" s="773" t="s">
        <v>21</v>
      </c>
      <c r="U30" s="774">
        <f t="shared" si="13"/>
        <v>100</v>
      </c>
      <c r="V30" s="773" t="s">
        <v>21</v>
      </c>
      <c r="W30" s="774">
        <f t="shared" si="14"/>
        <v>100</v>
      </c>
      <c r="X30" s="1809"/>
      <c r="Y30" s="3193"/>
      <c r="Z30" s="1810">
        <f t="shared" si="18"/>
        <v>0</v>
      </c>
      <c r="AA30" s="1807">
        <f t="shared" si="15"/>
        <v>1</v>
      </c>
      <c r="AB30" s="1807">
        <f t="shared" si="16"/>
        <v>1</v>
      </c>
      <c r="AC30" s="1807">
        <f t="shared" si="17"/>
        <v>1</v>
      </c>
    </row>
    <row r="31" spans="1:29" ht="15.75" hidden="1" thickBot="1">
      <c r="A31" s="435"/>
      <c r="B31" s="1384"/>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234"/>
      <c r="Q31" s="1806">
        <f t="shared" si="11"/>
        <v>0</v>
      </c>
      <c r="R31" s="773" t="s">
        <v>21</v>
      </c>
      <c r="S31" s="774">
        <f t="shared" si="12"/>
        <v>100</v>
      </c>
      <c r="T31" s="773" t="s">
        <v>21</v>
      </c>
      <c r="U31" s="774">
        <f t="shared" si="13"/>
        <v>100</v>
      </c>
      <c r="V31" s="773" t="s">
        <v>21</v>
      </c>
      <c r="W31" s="774">
        <f t="shared" si="14"/>
        <v>100</v>
      </c>
      <c r="X31" s="1809"/>
      <c r="Y31" s="3193"/>
      <c r="Z31" s="1810">
        <f t="shared" si="18"/>
        <v>0</v>
      </c>
      <c r="AA31" s="1807">
        <f t="shared" si="15"/>
        <v>1</v>
      </c>
      <c r="AB31" s="1807">
        <f t="shared" si="16"/>
        <v>1</v>
      </c>
      <c r="AC31" s="1807">
        <f t="shared" si="17"/>
        <v>1</v>
      </c>
    </row>
    <row r="32" spans="1:29" ht="15">
      <c r="A32" s="439" t="s">
        <v>2555</v>
      </c>
      <c r="B32" s="71" t="s">
        <v>2556</v>
      </c>
      <c r="C32" s="2609" t="s">
        <v>3077</v>
      </c>
      <c r="D32" s="466">
        <v>100</v>
      </c>
      <c r="E32" s="2609" t="s">
        <v>3077</v>
      </c>
      <c r="F32" s="460">
        <f>SUMIF(100:100,E32,101:101)-SUMIF(100:100,C32,101:101)+100</f>
        <v>100</v>
      </c>
      <c r="G32" s="2609" t="s">
        <v>3077</v>
      </c>
      <c r="H32" s="466">
        <f>SUMIF(100:100,G32,101:101)-SUMIF(100:100,C32,101:101)+100</f>
        <v>100</v>
      </c>
      <c r="I32" s="2609" t="s">
        <v>3077</v>
      </c>
      <c r="J32" s="434">
        <f>SUMIF(100:100,I32,101:101)-SUMIF(100:100,C32,101:101)+100</f>
        <v>100</v>
      </c>
      <c r="K32" s="425">
        <v>5</v>
      </c>
      <c r="L32" s="1138"/>
      <c r="M32" s="1129"/>
      <c r="N32" s="1129"/>
      <c r="O32" s="1129"/>
      <c r="P32" s="3229" t="s">
        <v>2557</v>
      </c>
      <c r="Q32" s="1806" t="str">
        <f t="shared" si="11"/>
        <v>建筑类型</v>
      </c>
      <c r="R32" s="773" t="s">
        <v>21</v>
      </c>
      <c r="S32" s="774">
        <f t="shared" si="12"/>
        <v>100</v>
      </c>
      <c r="T32" s="773" t="s">
        <v>21</v>
      </c>
      <c r="U32" s="774">
        <f t="shared" si="13"/>
        <v>100</v>
      </c>
      <c r="V32" s="773" t="s">
        <v>21</v>
      </c>
      <c r="W32" s="774">
        <f t="shared" si="14"/>
        <v>100</v>
      </c>
      <c r="X32" s="1809"/>
      <c r="Y32" s="3195" t="s">
        <v>2557</v>
      </c>
      <c r="Z32" s="1810" t="str">
        <f t="shared" si="18"/>
        <v>建筑类型</v>
      </c>
      <c r="AA32" s="1807">
        <f t="shared" si="15"/>
        <v>1</v>
      </c>
      <c r="AB32" s="1807">
        <f t="shared" si="16"/>
        <v>1</v>
      </c>
      <c r="AC32" s="1807">
        <f t="shared" si="17"/>
        <v>1</v>
      </c>
    </row>
    <row r="33" spans="1:29" s="470" customFormat="1" ht="15">
      <c r="A33" s="467"/>
      <c r="B33" s="421" t="s">
        <v>2558</v>
      </c>
      <c r="C33" s="468">
        <f>'数据-汇总表'!E3</f>
        <v>135929.18</v>
      </c>
      <c r="D33" s="135">
        <v>100</v>
      </c>
      <c r="E33" s="429">
        <v>58048.639999999999</v>
      </c>
      <c r="F33" s="424">
        <f>LOOKUP(E33,103:103,104:104)-LOOKUP(C33,103:103,104:104)+100</f>
        <v>100</v>
      </c>
      <c r="G33" s="428"/>
      <c r="H33" s="135">
        <f>LOOKUP(G33,103:103,104:104)-LOOKUP(C33,103:103,104:104)+100</f>
        <v>100</v>
      </c>
      <c r="I33" s="429">
        <v>41406</v>
      </c>
      <c r="J33" s="135">
        <f>LOOKUP(I33,103:103,104:104)-LOOKUP(C33,103:103,104:104)+100</f>
        <v>100</v>
      </c>
      <c r="K33" s="2593"/>
      <c r="L33" s="1136"/>
      <c r="M33" s="1139"/>
      <c r="N33" s="1139"/>
      <c r="O33" s="1139"/>
      <c r="P33" s="3230"/>
      <c r="Q33" s="775" t="str">
        <f t="shared" si="11"/>
        <v>项目建筑规模</v>
      </c>
      <c r="R33" s="776" t="s">
        <v>21</v>
      </c>
      <c r="S33" s="777">
        <f t="shared" si="12"/>
        <v>100</v>
      </c>
      <c r="T33" s="776" t="s">
        <v>21</v>
      </c>
      <c r="U33" s="777">
        <f t="shared" si="13"/>
        <v>100</v>
      </c>
      <c r="V33" s="776" t="s">
        <v>21</v>
      </c>
      <c r="W33" s="777">
        <f t="shared" si="14"/>
        <v>100</v>
      </c>
      <c r="X33" s="778"/>
      <c r="Y33" s="3195"/>
      <c r="Z33" s="779" t="str">
        <f t="shared" si="18"/>
        <v>项目建筑规模</v>
      </c>
      <c r="AA33" s="1807">
        <f t="shared" si="15"/>
        <v>1</v>
      </c>
      <c r="AB33" s="1807">
        <f t="shared" si="16"/>
        <v>1</v>
      </c>
      <c r="AC33" s="1807">
        <f t="shared" si="17"/>
        <v>1</v>
      </c>
    </row>
    <row r="34" spans="1:29" ht="15">
      <c r="A34" s="471"/>
      <c r="B34" s="421" t="s">
        <v>2559</v>
      </c>
      <c r="C34" s="2610" t="s">
        <v>3095</v>
      </c>
      <c r="D34" s="434">
        <v>100</v>
      </c>
      <c r="E34" s="2610" t="s">
        <v>3095</v>
      </c>
      <c r="F34" s="460">
        <f>SUMIF(105:105,E34,106:106)-SUMIF(105:105,C34,106:106)+100</f>
        <v>100</v>
      </c>
      <c r="G34" s="2610" t="s">
        <v>3095</v>
      </c>
      <c r="H34" s="434">
        <f>SUMIF(105:105,G34,106:106)-SUMIF(105:105,C34,106:106)+100</f>
        <v>100</v>
      </c>
      <c r="I34" s="2610" t="s">
        <v>3095</v>
      </c>
      <c r="J34" s="434">
        <f>SUMIF(105:105,I34,106:106)-SUMIF(105:105,C34,106:106)+100</f>
        <v>100</v>
      </c>
      <c r="K34" s="425">
        <v>2</v>
      </c>
      <c r="L34" s="1138"/>
      <c r="M34" s="1129"/>
      <c r="N34" s="1129"/>
      <c r="O34" s="1129"/>
      <c r="P34" s="3230"/>
      <c r="Q34" s="1806" t="str">
        <f t="shared" si="11"/>
        <v>建筑结构</v>
      </c>
      <c r="R34" s="773" t="s">
        <v>21</v>
      </c>
      <c r="S34" s="774">
        <f t="shared" si="12"/>
        <v>100</v>
      </c>
      <c r="T34" s="773" t="s">
        <v>21</v>
      </c>
      <c r="U34" s="774">
        <f t="shared" si="13"/>
        <v>100</v>
      </c>
      <c r="V34" s="773" t="s">
        <v>21</v>
      </c>
      <c r="W34" s="774">
        <f t="shared" si="14"/>
        <v>100</v>
      </c>
      <c r="X34" s="1809"/>
      <c r="Y34" s="3195"/>
      <c r="Z34" s="1810" t="str">
        <f t="shared" si="18"/>
        <v>建筑结构</v>
      </c>
      <c r="AA34" s="1807">
        <f t="shared" si="15"/>
        <v>1</v>
      </c>
      <c r="AB34" s="1807">
        <f t="shared" si="16"/>
        <v>1</v>
      </c>
      <c r="AC34" s="1807">
        <f t="shared" si="17"/>
        <v>1</v>
      </c>
    </row>
    <row r="35" spans="1:29" ht="15">
      <c r="A35" s="471"/>
      <c r="B35" s="421" t="s">
        <v>2560</v>
      </c>
      <c r="C35" s="2605" t="s">
        <v>3386</v>
      </c>
      <c r="D35" s="434">
        <v>100</v>
      </c>
      <c r="E35" s="2605" t="s">
        <v>3386</v>
      </c>
      <c r="F35" s="460">
        <f>SUMIF(107:107,E35,108:108)-SUMIF(107:107,C35,108:108)+100</f>
        <v>100</v>
      </c>
      <c r="G35" s="2605" t="s">
        <v>3386</v>
      </c>
      <c r="H35" s="434">
        <f>SUMIF(107:107,G35,108:108)-SUMIF(107:107,C35,108:108)+100</f>
        <v>100</v>
      </c>
      <c r="I35" s="2605" t="s">
        <v>3386</v>
      </c>
      <c r="J35" s="434">
        <f>SUMIF(107:107,I35,108:108)-SUMIF(107:107,C35,108:108)+100</f>
        <v>100</v>
      </c>
      <c r="K35" s="425">
        <v>2</v>
      </c>
      <c r="L35" s="1138"/>
      <c r="M35" s="1129"/>
      <c r="N35" s="1129"/>
      <c r="O35" s="1129"/>
      <c r="P35" s="3230"/>
      <c r="Q35" s="1806" t="str">
        <f t="shared" si="11"/>
        <v>建筑品质</v>
      </c>
      <c r="R35" s="773" t="s">
        <v>21</v>
      </c>
      <c r="S35" s="774">
        <f t="shared" si="12"/>
        <v>100</v>
      </c>
      <c r="T35" s="773" t="s">
        <v>21</v>
      </c>
      <c r="U35" s="774">
        <f t="shared" si="13"/>
        <v>100</v>
      </c>
      <c r="V35" s="773" t="s">
        <v>21</v>
      </c>
      <c r="W35" s="774">
        <f t="shared" si="14"/>
        <v>100</v>
      </c>
      <c r="X35" s="1809"/>
      <c r="Y35" s="3195"/>
      <c r="Z35" s="1810" t="str">
        <f t="shared" si="18"/>
        <v>建筑品质</v>
      </c>
      <c r="AA35" s="1807">
        <f t="shared" si="15"/>
        <v>1</v>
      </c>
      <c r="AB35" s="1807">
        <f t="shared" si="16"/>
        <v>1</v>
      </c>
      <c r="AC35" s="1807">
        <f t="shared" si="17"/>
        <v>1</v>
      </c>
    </row>
    <row r="36" spans="1:29" ht="15">
      <c r="A36" s="471"/>
      <c r="B36" s="421" t="s">
        <v>2561</v>
      </c>
      <c r="C36" s="2605" t="s">
        <v>3388</v>
      </c>
      <c r="D36" s="434">
        <v>100</v>
      </c>
      <c r="E36" s="2605" t="s">
        <v>3388</v>
      </c>
      <c r="F36" s="460">
        <f>SUMIF(109:109,E36,110:110)-SUMIF(109:109,C36,110:110)+100</f>
        <v>100</v>
      </c>
      <c r="G36" s="2605" t="s">
        <v>3388</v>
      </c>
      <c r="H36" s="434">
        <f>SUMIF(109:109,G36,110:110)-SUMIF(109:109,C36,110:110)+100</f>
        <v>100</v>
      </c>
      <c r="I36" s="2605" t="s">
        <v>3388</v>
      </c>
      <c r="J36" s="434">
        <f>SUMIF(109:109,I36,110:110)-SUMIF(109:109,C36,110:110)+100</f>
        <v>100</v>
      </c>
      <c r="K36" s="425">
        <v>2</v>
      </c>
      <c r="L36" s="1138"/>
      <c r="M36" s="1129"/>
      <c r="N36" s="1129"/>
      <c r="O36" s="1129"/>
      <c r="P36" s="3230"/>
      <c r="Q36" s="1806" t="str">
        <f t="shared" si="11"/>
        <v>公共部分装修</v>
      </c>
      <c r="R36" s="773" t="s">
        <v>21</v>
      </c>
      <c r="S36" s="774">
        <f t="shared" si="12"/>
        <v>100</v>
      </c>
      <c r="T36" s="773" t="s">
        <v>21</v>
      </c>
      <c r="U36" s="774">
        <f t="shared" si="13"/>
        <v>100</v>
      </c>
      <c r="V36" s="773" t="s">
        <v>21</v>
      </c>
      <c r="W36" s="774">
        <f t="shared" si="14"/>
        <v>100</v>
      </c>
      <c r="X36" s="1809"/>
      <c r="Y36" s="3195"/>
      <c r="Z36" s="1810" t="str">
        <f t="shared" si="18"/>
        <v>公共部分装修</v>
      </c>
      <c r="AA36" s="1807">
        <f t="shared" si="15"/>
        <v>1</v>
      </c>
      <c r="AB36" s="1807">
        <f t="shared" si="16"/>
        <v>1</v>
      </c>
      <c r="AC36" s="1807">
        <f t="shared" si="17"/>
        <v>1</v>
      </c>
    </row>
    <row r="37" spans="1:29" s="116" customFormat="1" ht="15">
      <c r="A37" s="472"/>
      <c r="B37" s="421" t="s">
        <v>2562</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230"/>
      <c r="Q37" s="1791" t="str">
        <f t="shared" si="11"/>
        <v>成新度</v>
      </c>
      <c r="R37" s="769" t="s">
        <v>21</v>
      </c>
      <c r="S37" s="770">
        <f t="shared" si="12"/>
        <v>100</v>
      </c>
      <c r="T37" s="769" t="s">
        <v>21</v>
      </c>
      <c r="U37" s="770">
        <f t="shared" si="13"/>
        <v>100</v>
      </c>
      <c r="V37" s="769" t="s">
        <v>21</v>
      </c>
      <c r="W37" s="770">
        <f t="shared" si="14"/>
        <v>100</v>
      </c>
      <c r="X37" s="771"/>
      <c r="Y37" s="3195"/>
      <c r="Z37" s="55" t="str">
        <f t="shared" si="18"/>
        <v>成新度</v>
      </c>
      <c r="AA37" s="772">
        <f t="shared" si="15"/>
        <v>1</v>
      </c>
      <c r="AB37" s="772">
        <f t="shared" si="16"/>
        <v>1</v>
      </c>
      <c r="AC37" s="772">
        <f t="shared" si="17"/>
        <v>1</v>
      </c>
    </row>
    <row r="38" spans="1:29" ht="15">
      <c r="A38" s="471"/>
      <c r="B38" s="421" t="s">
        <v>2563</v>
      </c>
      <c r="C38" s="2605" t="s">
        <v>3390</v>
      </c>
      <c r="D38" s="434">
        <v>100</v>
      </c>
      <c r="E38" s="2605" t="s">
        <v>3390</v>
      </c>
      <c r="F38" s="460">
        <f>SUMIF(114:114,E38,115:115)-SUMIF(114:114,C38,115:115)+100</f>
        <v>100</v>
      </c>
      <c r="G38" s="2605" t="s">
        <v>3390</v>
      </c>
      <c r="H38" s="434">
        <f>SUMIF(114:114,G38,115:115)-SUMIF(114:114,C38,115:115)+100</f>
        <v>100</v>
      </c>
      <c r="I38" s="2605" t="s">
        <v>3390</v>
      </c>
      <c r="J38" s="434">
        <f>SUMIF(114:114,I38,115:115)-SUMIF(114:114,C38,115:115)+100</f>
        <v>100</v>
      </c>
      <c r="K38" s="425">
        <v>2</v>
      </c>
      <c r="L38" s="1138"/>
      <c r="M38" s="1129"/>
      <c r="N38" s="1129"/>
      <c r="O38" s="1129"/>
      <c r="P38" s="3230" t="s">
        <v>2557</v>
      </c>
      <c r="Q38" s="1806" t="str">
        <f t="shared" si="11"/>
        <v>物业管理</v>
      </c>
      <c r="R38" s="773" t="s">
        <v>21</v>
      </c>
      <c r="S38" s="774">
        <f t="shared" si="12"/>
        <v>100</v>
      </c>
      <c r="T38" s="773" t="s">
        <v>21</v>
      </c>
      <c r="U38" s="774">
        <f t="shared" si="13"/>
        <v>100</v>
      </c>
      <c r="V38" s="773" t="s">
        <v>21</v>
      </c>
      <c r="W38" s="774">
        <f t="shared" si="14"/>
        <v>100</v>
      </c>
      <c r="X38" s="1809"/>
      <c r="Y38" s="3195" t="s">
        <v>2557</v>
      </c>
      <c r="Z38" s="1810" t="str">
        <f t="shared" si="18"/>
        <v>物业管理</v>
      </c>
      <c r="AA38" s="1807">
        <f t="shared" si="15"/>
        <v>1</v>
      </c>
      <c r="AB38" s="1807">
        <f t="shared" si="16"/>
        <v>1</v>
      </c>
      <c r="AC38" s="1807">
        <f t="shared" si="17"/>
        <v>1</v>
      </c>
    </row>
    <row r="39" spans="1:29" ht="15">
      <c r="A39" s="471"/>
      <c r="B39" s="421" t="s">
        <v>2564</v>
      </c>
      <c r="C39" s="2605" t="s">
        <v>3363</v>
      </c>
      <c r="D39" s="434">
        <v>100</v>
      </c>
      <c r="E39" s="2605" t="s">
        <v>3363</v>
      </c>
      <c r="F39" s="460">
        <f>SUMIF(116:116,E39,117:117)-SUMIF(116:116,C39,117:117)+100</f>
        <v>100</v>
      </c>
      <c r="G39" s="2605" t="s">
        <v>3363</v>
      </c>
      <c r="H39" s="434">
        <f>SUMIF(116:116,G39,117:117)-SUMIF(116:116,C39,117:117)+100</f>
        <v>100</v>
      </c>
      <c r="I39" s="2605" t="s">
        <v>3363</v>
      </c>
      <c r="J39" s="434">
        <f>SUMIF(116:116,I39,117:117)-SUMIF(116:116,C39,117:117)+100</f>
        <v>100</v>
      </c>
      <c r="K39" s="425">
        <v>2</v>
      </c>
      <c r="L39" s="1138"/>
      <c r="M39" s="1129"/>
      <c r="N39" s="1129"/>
      <c r="O39" s="1129"/>
      <c r="P39" s="3230"/>
      <c r="Q39" s="1806" t="str">
        <f t="shared" si="11"/>
        <v>市政基础设施</v>
      </c>
      <c r="R39" s="773" t="s">
        <v>21</v>
      </c>
      <c r="S39" s="774">
        <f t="shared" si="12"/>
        <v>100</v>
      </c>
      <c r="T39" s="773" t="s">
        <v>21</v>
      </c>
      <c r="U39" s="774">
        <f t="shared" si="13"/>
        <v>100</v>
      </c>
      <c r="V39" s="773" t="s">
        <v>21</v>
      </c>
      <c r="W39" s="774">
        <f t="shared" si="14"/>
        <v>100</v>
      </c>
      <c r="X39" s="1809"/>
      <c r="Y39" s="3195"/>
      <c r="Z39" s="1810" t="str">
        <f t="shared" si="18"/>
        <v>市政基础设施</v>
      </c>
      <c r="AA39" s="1807">
        <f t="shared" si="15"/>
        <v>1</v>
      </c>
      <c r="AB39" s="1807">
        <f t="shared" si="16"/>
        <v>1</v>
      </c>
      <c r="AC39" s="1807">
        <f t="shared" si="17"/>
        <v>1</v>
      </c>
    </row>
    <row r="40" spans="1:29" ht="15">
      <c r="A40" s="471"/>
      <c r="B40" s="421" t="s">
        <v>2565</v>
      </c>
      <c r="C40" s="2605" t="s">
        <v>3393</v>
      </c>
      <c r="D40" s="434">
        <v>100</v>
      </c>
      <c r="E40" s="2605" t="s">
        <v>3393</v>
      </c>
      <c r="F40" s="460">
        <f>SUMIF(118:118,E40,119:119)-SUMIF(118:118,C40,119:119)+100</f>
        <v>100</v>
      </c>
      <c r="G40" s="2605" t="s">
        <v>3393</v>
      </c>
      <c r="H40" s="434">
        <f>SUMIF(118:118,G40,119:119)-SUMIF(118:118,C40,119:119)+100</f>
        <v>100</v>
      </c>
      <c r="I40" s="2605" t="s">
        <v>3393</v>
      </c>
      <c r="J40" s="434">
        <f>SUMIF(118:118,I40,119:119)-SUMIF(118:118,C40,119:119)+100</f>
        <v>100</v>
      </c>
      <c r="K40" s="425">
        <v>5</v>
      </c>
      <c r="L40" s="1138"/>
      <c r="M40" s="1129"/>
      <c r="N40" s="1129"/>
      <c r="O40" s="1129"/>
      <c r="P40" s="3230"/>
      <c r="Q40" s="1806" t="str">
        <f t="shared" si="11"/>
        <v>房型</v>
      </c>
      <c r="R40" s="773" t="s">
        <v>21</v>
      </c>
      <c r="S40" s="774">
        <f t="shared" si="12"/>
        <v>100</v>
      </c>
      <c r="T40" s="773" t="s">
        <v>21</v>
      </c>
      <c r="U40" s="774">
        <f t="shared" si="13"/>
        <v>100</v>
      </c>
      <c r="V40" s="773" t="s">
        <v>21</v>
      </c>
      <c r="W40" s="774">
        <f t="shared" si="14"/>
        <v>100</v>
      </c>
      <c r="X40" s="1809"/>
      <c r="Y40" s="3195"/>
      <c r="Z40" s="1810" t="str">
        <f t="shared" si="18"/>
        <v>房型</v>
      </c>
      <c r="AA40" s="1807">
        <f t="shared" si="15"/>
        <v>1</v>
      </c>
      <c r="AB40" s="1807">
        <f t="shared" si="16"/>
        <v>1</v>
      </c>
      <c r="AC40" s="1807">
        <f t="shared" si="17"/>
        <v>1</v>
      </c>
    </row>
    <row r="41" spans="1:29" s="470" customFormat="1" ht="28.5">
      <c r="A41" s="467"/>
      <c r="B41" s="421" t="s">
        <v>2566</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3"/>
      <c r="L41" s="1136"/>
      <c r="M41" s="1139"/>
      <c r="N41" s="1139"/>
      <c r="O41" s="1139"/>
      <c r="P41" s="3230"/>
      <c r="Q41" s="775" t="str">
        <f t="shared" si="11"/>
        <v>单套/主力户型建筑面积</v>
      </c>
      <c r="R41" s="776" t="s">
        <v>21</v>
      </c>
      <c r="S41" s="777">
        <f t="shared" si="12"/>
        <v>100</v>
      </c>
      <c r="T41" s="776" t="s">
        <v>21</v>
      </c>
      <c r="U41" s="777">
        <f t="shared" si="13"/>
        <v>100</v>
      </c>
      <c r="V41" s="776" t="s">
        <v>21</v>
      </c>
      <c r="W41" s="777">
        <f t="shared" si="14"/>
        <v>100</v>
      </c>
      <c r="X41" s="778"/>
      <c r="Y41" s="3195"/>
      <c r="Z41" s="779" t="str">
        <f t="shared" si="18"/>
        <v>单套/主力户型建筑面积</v>
      </c>
      <c r="AA41" s="1807">
        <f t="shared" si="15"/>
        <v>1</v>
      </c>
      <c r="AB41" s="1807">
        <f t="shared" si="16"/>
        <v>1</v>
      </c>
      <c r="AC41" s="1807">
        <f t="shared" si="17"/>
        <v>1</v>
      </c>
    </row>
    <row r="42" spans="1:29" ht="15">
      <c r="A42" s="471"/>
      <c r="B42" s="421" t="s">
        <v>2567</v>
      </c>
      <c r="C42" s="2605" t="s">
        <v>3396</v>
      </c>
      <c r="D42" s="434">
        <v>100</v>
      </c>
      <c r="E42" s="2605" t="s">
        <v>3396</v>
      </c>
      <c r="F42" s="460">
        <f>SUMIF(122:122,E42,123:123)-SUMIF(122:122,C42,123:123)+100</f>
        <v>100</v>
      </c>
      <c r="G42" s="2605" t="s">
        <v>3396</v>
      </c>
      <c r="H42" s="434">
        <f>SUMIF(122:122,G42,123:123)-SUMIF(122:122,C42,123:123)+100</f>
        <v>100</v>
      </c>
      <c r="I42" s="2605" t="s">
        <v>3396</v>
      </c>
      <c r="J42" s="434">
        <f>SUMIF(122:122,I42,123:123)-SUMIF(122:122,C42,123:123)+100</f>
        <v>100</v>
      </c>
      <c r="K42" s="425">
        <v>5</v>
      </c>
      <c r="L42" s="1138"/>
      <c r="M42" s="1129"/>
      <c r="N42" s="1129"/>
      <c r="O42" s="1129"/>
      <c r="P42" s="3230"/>
      <c r="Q42" s="1806" t="str">
        <f t="shared" si="11"/>
        <v>内部装修</v>
      </c>
      <c r="R42" s="773" t="s">
        <v>21</v>
      </c>
      <c r="S42" s="774">
        <f t="shared" si="12"/>
        <v>100</v>
      </c>
      <c r="T42" s="773" t="s">
        <v>21</v>
      </c>
      <c r="U42" s="774">
        <f t="shared" si="13"/>
        <v>100</v>
      </c>
      <c r="V42" s="773" t="s">
        <v>21</v>
      </c>
      <c r="W42" s="774">
        <f t="shared" si="14"/>
        <v>100</v>
      </c>
      <c r="X42" s="1809"/>
      <c r="Y42" s="3195"/>
      <c r="Z42" s="1810" t="str">
        <f t="shared" si="18"/>
        <v>内部装修</v>
      </c>
      <c r="AA42" s="1807">
        <f t="shared" si="15"/>
        <v>1</v>
      </c>
      <c r="AB42" s="1807">
        <f t="shared" si="16"/>
        <v>1</v>
      </c>
      <c r="AC42" s="1807">
        <f t="shared" si="17"/>
        <v>1</v>
      </c>
    </row>
    <row r="43" spans="1:29" ht="15.75" thickBot="1">
      <c r="A43" s="471"/>
      <c r="B43" s="421" t="s">
        <v>2568</v>
      </c>
      <c r="C43" s="2605" t="s">
        <v>3360</v>
      </c>
      <c r="D43" s="434">
        <v>100</v>
      </c>
      <c r="E43" s="2605" t="s">
        <v>3360</v>
      </c>
      <c r="F43" s="460">
        <f>SUMIF(124:124,E43,125:125)-SUMIF(124:124,C43,125:125)+100</f>
        <v>100</v>
      </c>
      <c r="G43" s="2605" t="s">
        <v>3360</v>
      </c>
      <c r="H43" s="434">
        <f>SUMIF(124:124,G43,125:125)-SUMIF(124:124,C43,125:125)+100</f>
        <v>100</v>
      </c>
      <c r="I43" s="2605" t="s">
        <v>3360</v>
      </c>
      <c r="J43" s="434">
        <f>SUMIF(124:124,I43,125:125)-SUMIF(124:124,C43,125:125)+100</f>
        <v>100</v>
      </c>
      <c r="K43" s="425">
        <v>2</v>
      </c>
      <c r="L43" s="1138"/>
      <c r="M43" s="1129"/>
      <c r="N43" s="1129"/>
      <c r="O43" s="1129"/>
      <c r="P43" s="3230"/>
      <c r="Q43" s="1806" t="str">
        <f t="shared" si="11"/>
        <v>内部装修维护情况</v>
      </c>
      <c r="R43" s="773" t="s">
        <v>21</v>
      </c>
      <c r="S43" s="774">
        <f t="shared" si="12"/>
        <v>100</v>
      </c>
      <c r="T43" s="773" t="s">
        <v>21</v>
      </c>
      <c r="U43" s="774">
        <f t="shared" si="13"/>
        <v>100</v>
      </c>
      <c r="V43" s="773" t="s">
        <v>21</v>
      </c>
      <c r="W43" s="774">
        <f t="shared" si="14"/>
        <v>100</v>
      </c>
      <c r="X43" s="1809"/>
      <c r="Y43" s="3195"/>
      <c r="Z43" s="1810" t="str">
        <f t="shared" si="18"/>
        <v>内部装修维护情况</v>
      </c>
      <c r="AA43" s="1807">
        <f t="shared" si="15"/>
        <v>1</v>
      </c>
      <c r="AB43" s="1807">
        <f t="shared" si="16"/>
        <v>1</v>
      </c>
      <c r="AC43" s="1807">
        <f t="shared" si="17"/>
        <v>1</v>
      </c>
    </row>
    <row r="44" spans="1:29" s="116" customFormat="1" ht="15" hidden="1">
      <c r="A44" s="472"/>
      <c r="B44" s="1384"/>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30"/>
      <c r="M44" s="1131"/>
      <c r="N44" s="1131"/>
      <c r="O44" s="1131"/>
      <c r="P44" s="3230"/>
      <c r="Q44" s="1791">
        <f t="shared" si="11"/>
        <v>0</v>
      </c>
      <c r="R44" s="769" t="s">
        <v>21</v>
      </c>
      <c r="S44" s="770">
        <f t="shared" si="12"/>
        <v>100</v>
      </c>
      <c r="T44" s="769" t="s">
        <v>21</v>
      </c>
      <c r="U44" s="770">
        <f t="shared" si="13"/>
        <v>100</v>
      </c>
      <c r="V44" s="769" t="s">
        <v>21</v>
      </c>
      <c r="W44" s="770">
        <f t="shared" si="14"/>
        <v>100</v>
      </c>
      <c r="X44" s="771"/>
      <c r="Y44" s="3195"/>
      <c r="Z44" s="55">
        <f t="shared" si="18"/>
        <v>0</v>
      </c>
      <c r="AA44" s="772">
        <f t="shared" si="15"/>
        <v>1</v>
      </c>
      <c r="AB44" s="772">
        <f t="shared" si="16"/>
        <v>1</v>
      </c>
      <c r="AC44" s="772">
        <f t="shared" si="17"/>
        <v>1</v>
      </c>
    </row>
    <row r="45" spans="1:29" ht="15" hidden="1">
      <c r="A45" s="471"/>
      <c r="B45" s="1384"/>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230"/>
      <c r="Q45" s="1806">
        <f t="shared" si="11"/>
        <v>0</v>
      </c>
      <c r="R45" s="773" t="s">
        <v>21</v>
      </c>
      <c r="S45" s="774">
        <f t="shared" si="12"/>
        <v>100</v>
      </c>
      <c r="T45" s="773" t="s">
        <v>21</v>
      </c>
      <c r="U45" s="774">
        <f t="shared" si="13"/>
        <v>100</v>
      </c>
      <c r="V45" s="773" t="s">
        <v>21</v>
      </c>
      <c r="W45" s="774">
        <f t="shared" si="14"/>
        <v>100</v>
      </c>
      <c r="X45" s="1809"/>
      <c r="Y45" s="3195"/>
      <c r="Z45" s="1810">
        <f t="shared" si="18"/>
        <v>0</v>
      </c>
      <c r="AA45" s="1807">
        <f t="shared" si="15"/>
        <v>1</v>
      </c>
      <c r="AB45" s="1807">
        <f t="shared" si="16"/>
        <v>1</v>
      </c>
      <c r="AC45" s="1807">
        <f t="shared" si="17"/>
        <v>1</v>
      </c>
    </row>
    <row r="46" spans="1:29" ht="15.75" hidden="1" thickBot="1">
      <c r="A46" s="477"/>
      <c r="B46" s="2594"/>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231"/>
      <c r="Q46" s="1806">
        <f t="shared" si="11"/>
        <v>0</v>
      </c>
      <c r="R46" s="773" t="s">
        <v>20</v>
      </c>
      <c r="S46" s="774">
        <f t="shared" si="12"/>
        <v>100</v>
      </c>
      <c r="T46" s="773" t="s">
        <v>20</v>
      </c>
      <c r="U46" s="774">
        <f t="shared" si="13"/>
        <v>100</v>
      </c>
      <c r="V46" s="773" t="s">
        <v>20</v>
      </c>
      <c r="W46" s="774">
        <f t="shared" si="14"/>
        <v>100</v>
      </c>
      <c r="X46" s="1809"/>
      <c r="Y46" s="3232"/>
      <c r="Z46" s="1810">
        <f t="shared" si="18"/>
        <v>0</v>
      </c>
      <c r="AA46" s="1807">
        <f t="shared" si="15"/>
        <v>1</v>
      </c>
      <c r="AB46" s="1807">
        <f t="shared" si="16"/>
        <v>1</v>
      </c>
      <c r="AC46" s="1807">
        <f t="shared" si="17"/>
        <v>1</v>
      </c>
    </row>
    <row r="47" spans="1:29" ht="15">
      <c r="A47" s="478" t="s">
        <v>2569</v>
      </c>
      <c r="B47" s="479"/>
      <c r="C47" s="1404" t="s">
        <v>19</v>
      </c>
      <c r="D47" s="1405"/>
      <c r="E47" s="1406">
        <v>17000</v>
      </c>
      <c r="F47" s="1407"/>
      <c r="G47" s="1408">
        <v>18000</v>
      </c>
      <c r="H47" s="1409"/>
      <c r="I47" s="1406">
        <v>17000</v>
      </c>
      <c r="J47" s="1409"/>
      <c r="K47" s="2611"/>
      <c r="L47" s="1141"/>
      <c r="M47" s="1142"/>
      <c r="N47" s="1129"/>
      <c r="O47" s="1142"/>
      <c r="P47" s="3190" t="str">
        <f>A47</f>
        <v>成交单价（元/平方米）</v>
      </c>
      <c r="Q47" s="3190"/>
      <c r="R47" s="3228">
        <f>E47</f>
        <v>17000</v>
      </c>
      <c r="S47" s="3228"/>
      <c r="T47" s="3228">
        <f>G47</f>
        <v>18000</v>
      </c>
      <c r="U47" s="3228"/>
      <c r="V47" s="3228">
        <f>I47</f>
        <v>17000</v>
      </c>
      <c r="W47" s="3228"/>
      <c r="X47" s="758"/>
      <c r="Y47" s="780"/>
      <c r="Z47" s="758"/>
      <c r="AA47" s="758"/>
      <c r="AB47" s="758"/>
      <c r="AC47" s="758"/>
    </row>
    <row r="48" spans="1:29" ht="15.75" thickBot="1">
      <c r="A48" s="485" t="s">
        <v>2570</v>
      </c>
      <c r="B48" s="486"/>
      <c r="C48" s="1410">
        <f>R49</f>
        <v>17333</v>
      </c>
      <c r="D48" s="1411"/>
      <c r="E48" s="1412">
        <f>R48</f>
        <v>17000</v>
      </c>
      <c r="F48" s="1412"/>
      <c r="G48" s="1410">
        <f>T48</f>
        <v>18000</v>
      </c>
      <c r="H48" s="1411"/>
      <c r="I48" s="1412">
        <f>V48</f>
        <v>17000</v>
      </c>
      <c r="J48" s="1411"/>
      <c r="K48" s="2612"/>
      <c r="L48" s="1141"/>
      <c r="M48" s="1142"/>
      <c r="N48" s="1142"/>
      <c r="O48" s="1142"/>
      <c r="P48" s="3190" t="str">
        <f>A48</f>
        <v>比较价值（元/平方米）</v>
      </c>
      <c r="Q48" s="3190"/>
      <c r="R48" s="3228">
        <f>IF(F1="售价",ROUND(PRODUCT(R47,AA7:AA46),0),ROUND(PRODUCT(R47,AA7:AA46),1))</f>
        <v>17000</v>
      </c>
      <c r="S48" s="3228"/>
      <c r="T48" s="3228">
        <f>IF(F1="售价",ROUND(PRODUCT(T47,AB7:AB46),0),ROUND(PRODUCT(T47,AB7:AB46),1))</f>
        <v>18000</v>
      </c>
      <c r="U48" s="3228"/>
      <c r="V48" s="3228">
        <f>IF(F1="售价",ROUND(PRODUCT(V47,AC7:AC46),0),ROUND(PRODUCT(V47,AC7:AC46),1))</f>
        <v>17000</v>
      </c>
      <c r="W48" s="3228"/>
      <c r="X48" s="758"/>
      <c r="Y48" s="758"/>
      <c r="Z48" s="758"/>
      <c r="AA48" s="758"/>
      <c r="AB48" s="758"/>
      <c r="AC48" s="758"/>
    </row>
    <row r="49" spans="1:29" ht="15.75" thickBot="1">
      <c r="A49" s="491" t="s">
        <v>2571</v>
      </c>
      <c r="B49" s="492"/>
      <c r="C49" s="1413">
        <f>R49</f>
        <v>17333</v>
      </c>
      <c r="D49" s="1414"/>
      <c r="E49" s="1414"/>
      <c r="F49" s="1414"/>
      <c r="G49" s="1414"/>
      <c r="H49" s="1414"/>
      <c r="I49" s="1414"/>
      <c r="J49" s="1414"/>
      <c r="K49" s="2613"/>
      <c r="L49" s="1141"/>
      <c r="M49" s="1142"/>
      <c r="N49" s="1142"/>
      <c r="O49" s="1142"/>
      <c r="P49" s="3184" t="str">
        <f>A49</f>
        <v>估价对象XX用房的比较价值（楼面单价，元/平方米）</v>
      </c>
      <c r="Q49" s="3185"/>
      <c r="R49" s="3227">
        <f>IF(F1="售价",ROUND(AVERAGE(R48:V48),0),ROUND(AVERAGE(R48:V48),1))</f>
        <v>17333</v>
      </c>
      <c r="S49" s="3227"/>
      <c r="T49" s="3227"/>
      <c r="U49" s="3227"/>
      <c r="V49" s="3227"/>
      <c r="W49" s="322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3"/>
      <c r="L52" s="1104"/>
      <c r="M52" s="1142"/>
      <c r="N52" s="1142"/>
      <c r="O52" s="1142"/>
    </row>
    <row r="53" spans="1:29" ht="13.5" customHeight="1">
      <c r="A53" s="1142"/>
      <c r="B53" s="1142"/>
      <c r="C53" s="496" t="s">
        <v>2573</v>
      </c>
      <c r="D53" s="500"/>
      <c r="E53" s="498">
        <f>IF(E48&lt;G48,G48/E48-1,E48/G48-1)</f>
        <v>5.8823529411764719E-2</v>
      </c>
      <c r="F53" s="499" t="str">
        <f>IF(OR(E53&gt;=0.2,E53&lt;=-0.2),"超过20%","")</f>
        <v/>
      </c>
      <c r="G53" s="498">
        <f>IF(G48&lt;I48,I48/G48-1,G48/I48-1)</f>
        <v>5.8823529411764719E-2</v>
      </c>
      <c r="H53" s="499" t="str">
        <f>IF(OR(G53&gt;=0.2,G53&lt;=-0.2),"超过20%","")</f>
        <v/>
      </c>
      <c r="I53" s="498">
        <f>IF(I48&lt;E48,E48/I48-1,I48/E48-1)</f>
        <v>0</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5.8823529411764719E-2</v>
      </c>
      <c r="F54" s="499" t="str">
        <f>IF(OR(E54&gt;=0.3,E54&lt;=-0.3),"超过30%","")</f>
        <v/>
      </c>
      <c r="G54" s="498">
        <f>IF(G47&lt;I47,I47/G47-1,G47/I47-1)</f>
        <v>5.8823529411764719E-2</v>
      </c>
      <c r="H54" s="499" t="str">
        <f>IF(OR(G54&gt;=0.3,G54&lt;=-0.3),"超过30%","")</f>
        <v/>
      </c>
      <c r="I54" s="498">
        <f>IF(I47&lt;E47,E47/I47-1,I47/E47-1)</f>
        <v>0</v>
      </c>
      <c r="J54" s="499" t="str">
        <f>IF(OR(I54&gt;=0.3,I54&lt;=-0.3),"超过30%","")</f>
        <v/>
      </c>
      <c r="K54" s="1146"/>
      <c r="L54" s="1147"/>
      <c r="M54" s="1143"/>
      <c r="N54" s="1143"/>
      <c r="O54" s="1143"/>
      <c r="P54" s="2615"/>
    </row>
    <row r="55" spans="1:29" s="501" customFormat="1">
      <c r="A55" s="1143"/>
      <c r="B55" s="1144"/>
      <c r="C55" s="1148"/>
      <c r="D55" s="1143"/>
      <c r="E55" s="1143"/>
      <c r="F55" s="1143"/>
      <c r="G55" s="1143"/>
      <c r="H55" s="1143"/>
      <c r="I55" s="1143"/>
      <c r="J55" s="1143"/>
      <c r="K55" s="1146"/>
      <c r="L55" s="1147"/>
      <c r="M55" s="1143"/>
      <c r="N55" s="1143"/>
      <c r="O55" s="1143"/>
      <c r="P55" s="2615"/>
    </row>
    <row r="56" spans="1:29">
      <c r="A56" s="1142"/>
      <c r="B56" s="1144"/>
      <c r="C56" s="1148"/>
      <c r="D56" s="1142"/>
      <c r="E56" s="1142"/>
      <c r="F56" s="1142"/>
      <c r="G56" s="1142"/>
      <c r="H56" s="1142"/>
      <c r="I56" s="1142"/>
      <c r="J56" s="1142"/>
      <c r="K56" s="1103"/>
      <c r="L56" s="1104"/>
      <c r="M56" s="1142"/>
      <c r="N56" s="1142"/>
      <c r="O56" s="1142"/>
    </row>
    <row r="57" spans="1:29" ht="21.75" thickBot="1">
      <c r="A57" s="762" t="s">
        <v>2575</v>
      </c>
      <c r="B57" s="758"/>
      <c r="C57" s="763"/>
      <c r="D57" s="763"/>
      <c r="E57" s="763"/>
      <c r="F57" s="764"/>
      <c r="G57" s="764"/>
      <c r="H57" s="763"/>
      <c r="I57" s="763"/>
      <c r="J57" s="763"/>
      <c r="K57" s="1158"/>
      <c r="L57" s="1159"/>
      <c r="M57" s="1157"/>
      <c r="N57" s="1157"/>
      <c r="O57" s="1157"/>
      <c r="P57" s="2616"/>
      <c r="Q57" s="503"/>
    </row>
    <row r="58" spans="1:29" s="507" customFormat="1" ht="15">
      <c r="A58" s="504" t="s">
        <v>2576</v>
      </c>
      <c r="B58" s="505"/>
      <c r="C58" s="1572" t="str">
        <f>YEAR(C7)&amp;"-"&amp;MONTH(C7)</f>
        <v>2018-11</v>
      </c>
      <c r="D58" s="1571">
        <f>EDATE(C58,-1)</f>
        <v>43374</v>
      </c>
      <c r="E58" s="1571">
        <f>EDATE(D58,-1)</f>
        <v>43344</v>
      </c>
      <c r="F58" s="1571">
        <f t="shared" ref="F58:O58" si="19">EDATE(E58,-1)</f>
        <v>43313</v>
      </c>
      <c r="G58" s="1571">
        <f t="shared" si="19"/>
        <v>43282</v>
      </c>
      <c r="H58" s="1571">
        <f t="shared" si="19"/>
        <v>43252</v>
      </c>
      <c r="I58" s="1571">
        <f t="shared" si="19"/>
        <v>43221</v>
      </c>
      <c r="J58" s="1571">
        <f t="shared" si="19"/>
        <v>43191</v>
      </c>
      <c r="K58" s="1571">
        <f t="shared" si="19"/>
        <v>43160</v>
      </c>
      <c r="L58" s="1571">
        <f t="shared" si="19"/>
        <v>43132</v>
      </c>
      <c r="M58" s="1571">
        <f t="shared" si="19"/>
        <v>43101</v>
      </c>
      <c r="N58" s="1571">
        <f t="shared" si="19"/>
        <v>43070</v>
      </c>
      <c r="O58" s="1571">
        <f t="shared" si="19"/>
        <v>43040</v>
      </c>
      <c r="P58" s="1566"/>
    </row>
    <row r="59" spans="1:29" s="116" customFormat="1" ht="15">
      <c r="A59" s="508"/>
      <c r="B59" s="2617"/>
      <c r="C59" s="1569">
        <v>100</v>
      </c>
      <c r="D59" s="510"/>
      <c r="E59" s="511"/>
      <c r="F59" s="511"/>
      <c r="G59" s="511"/>
      <c r="H59" s="511"/>
      <c r="I59" s="511"/>
      <c r="J59" s="511"/>
      <c r="K59" s="511"/>
      <c r="L59" s="511"/>
      <c r="M59" s="512"/>
      <c r="N59" s="511"/>
      <c r="O59" s="512"/>
      <c r="P59" s="2618"/>
    </row>
    <row r="60" spans="1:29" s="116" customFormat="1" ht="15.75" thickBot="1">
      <c r="A60" s="514" t="s">
        <v>2577</v>
      </c>
      <c r="B60" s="515"/>
      <c r="C60" s="516"/>
      <c r="D60" s="517"/>
      <c r="E60" s="517"/>
      <c r="F60" s="517"/>
      <c r="G60" s="517"/>
      <c r="H60" s="517"/>
      <c r="I60" s="517"/>
      <c r="J60" s="517"/>
      <c r="K60" s="517"/>
      <c r="L60" s="517"/>
      <c r="M60" s="518"/>
      <c r="N60" s="517"/>
      <c r="O60" s="518"/>
      <c r="P60" s="2618"/>
      <c r="Q60" s="503"/>
    </row>
    <row r="61" spans="1:29" s="116" customFormat="1" ht="15">
      <c r="A61" s="520" t="s">
        <v>2578</v>
      </c>
      <c r="B61" s="509"/>
      <c r="C61" s="521" t="s">
        <v>2579</v>
      </c>
      <c r="D61" s="522"/>
      <c r="E61" s="522"/>
      <c r="F61" s="522"/>
      <c r="G61" s="522"/>
      <c r="H61" s="522"/>
      <c r="I61" s="522"/>
      <c r="J61" s="522"/>
      <c r="K61" s="522"/>
      <c r="L61" s="523"/>
      <c r="M61" s="524"/>
      <c r="N61" s="1149"/>
      <c r="O61" s="1149"/>
      <c r="P61" s="2619"/>
      <c r="Q61" s="503"/>
    </row>
    <row r="62" spans="1:29" s="116" customFormat="1" ht="15.75" thickBot="1">
      <c r="A62" s="520"/>
      <c r="B62" s="509"/>
      <c r="C62" s="510">
        <v>100</v>
      </c>
      <c r="D62" s="511"/>
      <c r="E62" s="511"/>
      <c r="F62" s="511"/>
      <c r="G62" s="511"/>
      <c r="H62" s="511"/>
      <c r="I62" s="511"/>
      <c r="J62" s="511"/>
      <c r="K62" s="511"/>
      <c r="L62" s="511"/>
      <c r="M62" s="513"/>
      <c r="N62" s="1149"/>
      <c r="O62" s="1149"/>
      <c r="P62" s="2618"/>
      <c r="Q62" s="503"/>
    </row>
    <row r="63" spans="1:29">
      <c r="A63" s="526" t="s">
        <v>2580</v>
      </c>
      <c r="B63" s="527" t="s">
        <v>2546</v>
      </c>
      <c r="C63" s="528" t="str">
        <f>C9</f>
        <v>住宅</v>
      </c>
      <c r="D63" s="529"/>
      <c r="E63" s="529"/>
      <c r="F63" s="529"/>
      <c r="G63" s="529"/>
      <c r="H63" s="529"/>
      <c r="I63" s="529"/>
      <c r="J63" s="529"/>
      <c r="K63" s="530"/>
      <c r="L63" s="531"/>
      <c r="M63" s="532"/>
      <c r="N63" s="1150"/>
      <c r="O63" s="1150"/>
      <c r="P63" s="2620"/>
      <c r="Q63" s="503"/>
    </row>
    <row r="64" spans="1:29" ht="15.75" thickBot="1">
      <c r="A64" s="533"/>
      <c r="B64" s="534"/>
      <c r="C64" s="535">
        <v>100</v>
      </c>
      <c r="D64" s="535"/>
      <c r="E64" s="535"/>
      <c r="F64" s="535"/>
      <c r="G64" s="535"/>
      <c r="H64" s="535"/>
      <c r="I64" s="535"/>
      <c r="J64" s="535"/>
      <c r="K64" s="535"/>
      <c r="L64" s="535"/>
      <c r="M64" s="536"/>
      <c r="N64" s="1151"/>
      <c r="O64" s="1151"/>
      <c r="P64" s="2620"/>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0"/>
      <c r="Q66" s="503"/>
    </row>
    <row r="67" spans="1:17" ht="15.75" thickTop="1">
      <c r="A67" s="533"/>
      <c r="B67" s="545" t="s">
        <v>2550</v>
      </c>
      <c r="C67" s="546" t="str">
        <f>C68&amp;"（含）"&amp;"-"&amp;D68</f>
        <v>0（含）-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0"/>
      <c r="Q67" s="503"/>
    </row>
    <row r="68" spans="1:17" ht="15">
      <c r="A68" s="533"/>
      <c r="B68" s="547"/>
      <c r="C68" s="548">
        <v>0</v>
      </c>
      <c r="D68" s="548"/>
      <c r="E68" s="548"/>
      <c r="F68" s="548"/>
      <c r="G68" s="548"/>
      <c r="H68" s="548"/>
      <c r="I68" s="548"/>
      <c r="J68" s="548"/>
      <c r="K68" s="549"/>
      <c r="L68" s="550"/>
      <c r="M68" s="551"/>
      <c r="N68" s="1150"/>
      <c r="O68" s="1150"/>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0"/>
      <c r="Q69" s="503"/>
    </row>
    <row r="70" spans="1:17" s="470" customFormat="1" ht="15.75" hidden="1" thickTop="1">
      <c r="A70" s="552"/>
      <c r="B70" s="537">
        <f>B12</f>
        <v>0</v>
      </c>
      <c r="C70" s="553"/>
      <c r="D70" s="553"/>
      <c r="E70" s="553"/>
      <c r="F70" s="553"/>
      <c r="G70" s="553"/>
      <c r="H70" s="554"/>
      <c r="I70" s="554"/>
      <c r="J70" s="554"/>
      <c r="K70" s="554"/>
      <c r="L70" s="555"/>
      <c r="M70" s="556"/>
      <c r="N70" s="1152"/>
      <c r="O70" s="1152"/>
      <c r="P70" s="2621"/>
      <c r="Q70" s="558"/>
    </row>
    <row r="71" spans="1:17" s="470" customFormat="1" ht="15.75" hidden="1" thickBot="1">
      <c r="A71" s="552"/>
      <c r="B71" s="542"/>
      <c r="C71" s="559"/>
      <c r="D71" s="535"/>
      <c r="E71" s="535"/>
      <c r="F71" s="535"/>
      <c r="G71" s="535"/>
      <c r="H71" s="535"/>
      <c r="I71" s="535"/>
      <c r="J71" s="535"/>
      <c r="K71" s="535"/>
      <c r="L71" s="535"/>
      <c r="M71" s="536"/>
      <c r="N71" s="1151"/>
      <c r="O71" s="1151"/>
      <c r="P71" s="2621"/>
      <c r="Q71" s="558"/>
    </row>
    <row r="72" spans="1:17" s="470" customFormat="1" ht="15.75" hidden="1" thickTop="1">
      <c r="A72" s="552"/>
      <c r="B72" s="537">
        <f>B13</f>
        <v>0</v>
      </c>
      <c r="C72" s="553"/>
      <c r="D72" s="553"/>
      <c r="E72" s="553"/>
      <c r="F72" s="553"/>
      <c r="G72" s="553"/>
      <c r="H72" s="554"/>
      <c r="I72" s="554"/>
      <c r="J72" s="554"/>
      <c r="K72" s="554"/>
      <c r="L72" s="555"/>
      <c r="M72" s="556"/>
      <c r="N72" s="1152"/>
      <c r="O72" s="1152"/>
      <c r="P72" s="2622"/>
      <c r="Q72" s="560"/>
    </row>
    <row r="73" spans="1:17" s="470" customFormat="1" ht="15.75" hidden="1" thickBot="1">
      <c r="A73" s="552"/>
      <c r="B73" s="542"/>
      <c r="C73" s="559"/>
      <c r="D73" s="559"/>
      <c r="E73" s="559"/>
      <c r="F73" s="559"/>
      <c r="G73" s="559"/>
      <c r="H73" s="561"/>
      <c r="I73" s="561"/>
      <c r="J73" s="561"/>
      <c r="K73" s="561"/>
      <c r="L73" s="561"/>
      <c r="M73" s="562"/>
      <c r="N73" s="1152"/>
      <c r="O73" s="1152"/>
      <c r="P73" s="2621"/>
      <c r="Q73" s="558"/>
    </row>
    <row r="74" spans="1:17" s="470" customFormat="1" ht="15.75" hidden="1" thickTop="1">
      <c r="A74" s="552"/>
      <c r="B74" s="545">
        <f>B14</f>
        <v>0</v>
      </c>
      <c r="C74" s="553"/>
      <c r="D74" s="553"/>
      <c r="E74" s="553"/>
      <c r="F74" s="553"/>
      <c r="G74" s="522"/>
      <c r="H74" s="563"/>
      <c r="I74" s="563"/>
      <c r="J74" s="563"/>
      <c r="K74" s="563"/>
      <c r="L74" s="564"/>
      <c r="M74" s="565"/>
      <c r="N74" s="1152"/>
      <c r="O74" s="1152"/>
      <c r="P74" s="2623"/>
      <c r="Q74" s="558"/>
    </row>
    <row r="75" spans="1:17" s="470" customFormat="1" ht="15.75" hidden="1" thickBot="1">
      <c r="A75" s="567"/>
      <c r="B75" s="568"/>
      <c r="C75" s="569"/>
      <c r="D75" s="569"/>
      <c r="E75" s="569"/>
      <c r="F75" s="569"/>
      <c r="G75" s="569"/>
      <c r="H75" s="570"/>
      <c r="I75" s="570"/>
      <c r="J75" s="570"/>
      <c r="K75" s="570"/>
      <c r="L75" s="570"/>
      <c r="M75" s="571"/>
      <c r="N75" s="1152"/>
      <c r="O75" s="1152"/>
      <c r="P75" s="2621"/>
      <c r="Q75" s="558"/>
    </row>
    <row r="76" spans="1:17" ht="15" thickTop="1">
      <c r="A76" s="526" t="s">
        <v>2551</v>
      </c>
      <c r="B76" s="527" t="s">
        <v>2588</v>
      </c>
      <c r="C76" s="572" t="s">
        <v>2589</v>
      </c>
      <c r="D76" s="572" t="s">
        <v>2590</v>
      </c>
      <c r="E76" s="572" t="s">
        <v>2591</v>
      </c>
      <c r="F76" s="572" t="s">
        <v>2592</v>
      </c>
      <c r="G76" s="572" t="s">
        <v>2593</v>
      </c>
      <c r="H76" s="528"/>
      <c r="I76" s="528"/>
      <c r="J76" s="528"/>
      <c r="K76" s="573"/>
      <c r="L76" s="574"/>
      <c r="M76" s="575"/>
      <c r="N76" s="1150"/>
      <c r="O76" s="1150"/>
      <c r="P76" s="262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0"/>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0"/>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1"/>
      <c r="O79" s="1151"/>
      <c r="P79" s="2620"/>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0"/>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51"/>
      <c r="O81" s="1151"/>
      <c r="P81" s="2620"/>
      <c r="Q81" s="503"/>
    </row>
    <row r="82" spans="1:17" ht="15.75" thickTop="1">
      <c r="A82" s="533"/>
      <c r="B82" s="545" t="s">
        <v>2094</v>
      </c>
      <c r="C82" s="538" t="s">
        <v>2596</v>
      </c>
      <c r="D82" s="538" t="s">
        <v>2597</v>
      </c>
      <c r="E82" s="538" t="s">
        <v>2598</v>
      </c>
      <c r="F82" s="538" t="s">
        <v>2599</v>
      </c>
      <c r="G82" s="538" t="s">
        <v>2600</v>
      </c>
      <c r="H82" s="538"/>
      <c r="I82" s="538"/>
      <c r="J82" s="538"/>
      <c r="K82" s="538"/>
      <c r="L82" s="538"/>
      <c r="M82" s="1380"/>
      <c r="N82" s="1151"/>
      <c r="O82" s="1151"/>
      <c r="P82" s="2620"/>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0"/>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0"/>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20"/>
      <c r="Q85" s="503"/>
    </row>
    <row r="86" spans="1:17" s="116" customFormat="1" ht="15.95" hidden="1" customHeight="1" thickTop="1">
      <c r="A86" s="578"/>
      <c r="B86" s="537" t="s">
        <v>2602</v>
      </c>
      <c r="C86" s="553"/>
      <c r="D86" s="553"/>
      <c r="E86" s="553"/>
      <c r="F86" s="553"/>
      <c r="G86" s="553"/>
      <c r="H86" s="553"/>
      <c r="I86" s="553"/>
      <c r="J86" s="553"/>
      <c r="K86" s="553"/>
      <c r="L86" s="579"/>
      <c r="M86" s="580"/>
      <c r="N86" s="1149"/>
      <c r="O86" s="1149"/>
      <c r="P86" s="2620"/>
      <c r="Q86" s="503"/>
    </row>
    <row r="87" spans="1:17" s="116" customFormat="1" ht="15.75" hidden="1"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0"/>
      <c r="Q87" s="503"/>
    </row>
    <row r="88" spans="1:17" s="116" customFormat="1" ht="15.75" hidden="1" thickTop="1">
      <c r="A88" s="578"/>
      <c r="B88" s="537" t="s">
        <v>2603</v>
      </c>
      <c r="C88" s="553"/>
      <c r="D88" s="553"/>
      <c r="E88" s="553"/>
      <c r="F88" s="2625"/>
      <c r="G88" s="553"/>
      <c r="H88" s="553"/>
      <c r="I88" s="553"/>
      <c r="J88" s="553"/>
      <c r="K88" s="553"/>
      <c r="L88" s="553"/>
      <c r="M88" s="580"/>
      <c r="N88" s="1149"/>
      <c r="O88" s="1149"/>
      <c r="P88" s="2620"/>
      <c r="Q88" s="503"/>
    </row>
    <row r="89" spans="1:17" s="116" customFormat="1" ht="15.75" hidden="1"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0"/>
      <c r="Q89" s="503"/>
    </row>
    <row r="90" spans="1:17" s="470" customFormat="1" ht="15.75" hidden="1" thickTop="1">
      <c r="A90" s="552"/>
      <c r="B90" s="537">
        <f>B27</f>
        <v>0</v>
      </c>
      <c r="C90" s="553"/>
      <c r="D90" s="553"/>
      <c r="E90" s="553"/>
      <c r="F90" s="553"/>
      <c r="G90" s="553"/>
      <c r="H90" s="554"/>
      <c r="I90" s="554"/>
      <c r="J90" s="554"/>
      <c r="K90" s="554"/>
      <c r="L90" s="555"/>
      <c r="M90" s="556"/>
      <c r="N90" s="1152"/>
      <c r="O90" s="1152"/>
      <c r="P90" s="2621"/>
      <c r="Q90" s="558"/>
    </row>
    <row r="91" spans="1:17" s="470" customFormat="1" ht="15.75" hidden="1" thickBot="1">
      <c r="A91" s="552"/>
      <c r="B91" s="542"/>
      <c r="C91" s="559"/>
      <c r="D91" s="559"/>
      <c r="E91" s="559"/>
      <c r="F91" s="559"/>
      <c r="G91" s="559"/>
      <c r="H91" s="561"/>
      <c r="I91" s="561"/>
      <c r="J91" s="561"/>
      <c r="K91" s="561"/>
      <c r="L91" s="561"/>
      <c r="M91" s="562"/>
      <c r="N91" s="1152"/>
      <c r="O91" s="1152"/>
      <c r="P91" s="2621"/>
      <c r="Q91" s="558"/>
    </row>
    <row r="92" spans="1:17" ht="15.75" hidden="1" thickTop="1">
      <c r="A92" s="533"/>
      <c r="B92" s="537">
        <f>B28</f>
        <v>0</v>
      </c>
      <c r="C92" s="553"/>
      <c r="D92" s="553"/>
      <c r="E92" s="553"/>
      <c r="F92" s="553"/>
      <c r="G92" s="582"/>
      <c r="H92" s="582"/>
      <c r="I92" s="582"/>
      <c r="J92" s="582"/>
      <c r="K92" s="583"/>
      <c r="L92" s="584"/>
      <c r="M92" s="585"/>
      <c r="N92" s="1150"/>
      <c r="O92" s="1150"/>
      <c r="P92" s="2620"/>
      <c r="Q92" s="503"/>
    </row>
    <row r="93" spans="1:17" ht="15.75" hidden="1" thickBot="1">
      <c r="A93" s="533"/>
      <c r="B93" s="542"/>
      <c r="C93" s="559"/>
      <c r="D93" s="535"/>
      <c r="E93" s="535"/>
      <c r="F93" s="535"/>
      <c r="G93" s="535"/>
      <c r="H93" s="535"/>
      <c r="I93" s="535"/>
      <c r="J93" s="535"/>
      <c r="K93" s="535"/>
      <c r="L93" s="535"/>
      <c r="M93" s="536"/>
      <c r="N93" s="1151"/>
      <c r="O93" s="1151"/>
      <c r="P93" s="2620"/>
      <c r="Q93" s="503"/>
    </row>
    <row r="94" spans="1:17" ht="15.75" hidden="1" thickTop="1">
      <c r="A94" s="533"/>
      <c r="B94" s="537">
        <f>B29</f>
        <v>0</v>
      </c>
      <c r="C94" s="553"/>
      <c r="D94" s="553"/>
      <c r="E94" s="553"/>
      <c r="F94" s="553"/>
      <c r="G94" s="582"/>
      <c r="H94" s="582"/>
      <c r="I94" s="582"/>
      <c r="J94" s="582"/>
      <c r="K94" s="583"/>
      <c r="L94" s="584"/>
      <c r="M94" s="585"/>
      <c r="N94" s="1150"/>
      <c r="O94" s="1150"/>
      <c r="P94" s="2620"/>
      <c r="Q94" s="503"/>
    </row>
    <row r="95" spans="1:17" ht="15.75" hidden="1" thickBot="1">
      <c r="A95" s="533"/>
      <c r="B95" s="542"/>
      <c r="C95" s="559"/>
      <c r="D95" s="559"/>
      <c r="E95" s="559"/>
      <c r="F95" s="559"/>
      <c r="G95" s="535"/>
      <c r="H95" s="535"/>
      <c r="I95" s="535"/>
      <c r="J95" s="535"/>
      <c r="K95" s="535"/>
      <c r="L95" s="535"/>
      <c r="M95" s="536"/>
      <c r="N95" s="1151"/>
      <c r="O95" s="1151"/>
      <c r="P95" s="2620"/>
      <c r="Q95" s="503"/>
    </row>
    <row r="96" spans="1:17" ht="15.75" hidden="1" thickTop="1">
      <c r="A96" s="533"/>
      <c r="B96" s="537">
        <f>B30</f>
        <v>0</v>
      </c>
      <c r="C96" s="553"/>
      <c r="D96" s="553"/>
      <c r="E96" s="553"/>
      <c r="F96" s="553"/>
      <c r="G96" s="582"/>
      <c r="H96" s="582"/>
      <c r="I96" s="582"/>
      <c r="J96" s="582"/>
      <c r="K96" s="583"/>
      <c r="L96" s="584"/>
      <c r="M96" s="585"/>
      <c r="N96" s="1150"/>
      <c r="O96" s="1150"/>
      <c r="P96" s="2620"/>
      <c r="Q96" s="503"/>
    </row>
    <row r="97" spans="1:17" ht="15.75" hidden="1" thickBot="1">
      <c r="A97" s="533"/>
      <c r="B97" s="542"/>
      <c r="C97" s="569"/>
      <c r="D97" s="569"/>
      <c r="E97" s="569"/>
      <c r="F97" s="569"/>
      <c r="G97" s="535"/>
      <c r="H97" s="535"/>
      <c r="I97" s="535"/>
      <c r="J97" s="535"/>
      <c r="K97" s="535"/>
      <c r="L97" s="535"/>
      <c r="M97" s="536"/>
      <c r="N97" s="1151"/>
      <c r="O97" s="1151"/>
      <c r="P97" s="2620"/>
      <c r="Q97" s="503"/>
    </row>
    <row r="98" spans="1:17" ht="15.75" hidden="1" thickTop="1">
      <c r="A98" s="533"/>
      <c r="B98" s="545">
        <f>B31</f>
        <v>0</v>
      </c>
      <c r="C98" s="586"/>
      <c r="D98" s="586"/>
      <c r="E98" s="586"/>
      <c r="F98" s="586"/>
      <c r="G98" s="586"/>
      <c r="H98" s="586"/>
      <c r="I98" s="586"/>
      <c r="J98" s="586"/>
      <c r="K98" s="587"/>
      <c r="L98" s="588"/>
      <c r="M98" s="589"/>
      <c r="N98" s="1150"/>
      <c r="O98" s="1150"/>
      <c r="P98" s="2620"/>
      <c r="Q98" s="503"/>
    </row>
    <row r="99" spans="1:17" ht="15.75" hidden="1" thickBot="1">
      <c r="A99" s="2626"/>
      <c r="B99" s="568"/>
      <c r="C99" s="590"/>
      <c r="D99" s="590"/>
      <c r="E99" s="590"/>
      <c r="F99" s="590"/>
      <c r="G99" s="590"/>
      <c r="H99" s="590"/>
      <c r="I99" s="590"/>
      <c r="J99" s="590"/>
      <c r="K99" s="590"/>
      <c r="L99" s="590"/>
      <c r="M99" s="591"/>
      <c r="N99" s="1151"/>
      <c r="O99" s="1151"/>
      <c r="P99" s="2620"/>
      <c r="Q99" s="503"/>
    </row>
    <row r="100" spans="1:17" ht="15" thickTop="1">
      <c r="A100" s="526" t="s">
        <v>2555</v>
      </c>
      <c r="B100" s="527" t="s">
        <v>2604</v>
      </c>
      <c r="C100" s="2967" t="s">
        <v>3384</v>
      </c>
      <c r="D100" s="529"/>
      <c r="E100" s="529"/>
      <c r="F100" s="529"/>
      <c r="G100" s="529"/>
      <c r="H100" s="529"/>
      <c r="I100" s="529"/>
      <c r="J100" s="529"/>
      <c r="K100" s="530"/>
      <c r="L100" s="531"/>
      <c r="M100" s="532"/>
      <c r="N100" s="1150"/>
      <c r="O100" s="1150"/>
      <c r="P100" s="2620"/>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20"/>
      <c r="Q101" s="503"/>
    </row>
    <row r="102" spans="1:17" ht="15.75" thickTop="1">
      <c r="A102" s="533"/>
      <c r="B102" s="537" t="s">
        <v>2605</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0"/>
      <c r="Q102" s="503"/>
    </row>
    <row r="103" spans="1:17" s="470" customFormat="1">
      <c r="A103" s="592"/>
      <c r="B103" s="593"/>
      <c r="C103" s="594">
        <v>0</v>
      </c>
      <c r="D103" s="594"/>
      <c r="E103" s="594"/>
      <c r="F103" s="594"/>
      <c r="G103" s="594"/>
      <c r="H103" s="594"/>
      <c r="I103" s="594"/>
      <c r="J103" s="595"/>
      <c r="K103" s="595"/>
      <c r="L103" s="596"/>
      <c r="M103" s="597"/>
      <c r="N103" s="1152"/>
      <c r="O103" s="1152"/>
      <c r="P103" s="2621"/>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1"/>
      <c r="Q104" s="558"/>
    </row>
    <row r="105" spans="1:17" ht="15" thickTop="1">
      <c r="A105" s="598"/>
      <c r="B105" s="537" t="s">
        <v>2606</v>
      </c>
      <c r="C105" s="2959" t="s">
        <v>3385</v>
      </c>
      <c r="D105" s="553"/>
      <c r="E105" s="582"/>
      <c r="F105" s="582"/>
      <c r="G105" s="582"/>
      <c r="H105" s="582"/>
      <c r="I105" s="582"/>
      <c r="J105" s="582"/>
      <c r="K105" s="583"/>
      <c r="L105" s="584"/>
      <c r="M105" s="585"/>
      <c r="N105" s="1150"/>
      <c r="O105" s="1150"/>
      <c r="P105" s="262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0"/>
      <c r="Q106" s="503"/>
    </row>
    <row r="107" spans="1:17" ht="15" thickTop="1">
      <c r="A107" s="598"/>
      <c r="B107" s="537" t="s">
        <v>2607</v>
      </c>
      <c r="C107" s="2960" t="s">
        <v>3387</v>
      </c>
      <c r="D107" s="582"/>
      <c r="E107" s="582"/>
      <c r="F107" s="582"/>
      <c r="G107" s="582"/>
      <c r="H107" s="582"/>
      <c r="I107" s="582"/>
      <c r="J107" s="582"/>
      <c r="K107" s="583"/>
      <c r="L107" s="584"/>
      <c r="M107" s="585"/>
      <c r="N107" s="1150"/>
      <c r="O107" s="1150"/>
      <c r="P107" s="262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0"/>
      <c r="Q108" s="503"/>
    </row>
    <row r="109" spans="1:17" ht="15" thickTop="1">
      <c r="A109" s="598"/>
      <c r="B109" s="537" t="s">
        <v>2608</v>
      </c>
      <c r="C109" s="2959" t="s">
        <v>3389</v>
      </c>
      <c r="D109" s="553"/>
      <c r="E109" s="553"/>
      <c r="F109" s="582"/>
      <c r="G109" s="582"/>
      <c r="H109" s="582"/>
      <c r="I109" s="582"/>
      <c r="J109" s="582"/>
      <c r="K109" s="583"/>
      <c r="L109" s="584"/>
      <c r="M109" s="585"/>
      <c r="N109" s="1150"/>
      <c r="O109" s="1150"/>
      <c r="P109" s="262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0"/>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1"/>
      <c r="Q113" s="558"/>
    </row>
    <row r="114" spans="1:17" ht="15" thickTop="1">
      <c r="A114" s="598"/>
      <c r="B114" s="537" t="s">
        <v>2609</v>
      </c>
      <c r="C114" s="2959" t="s">
        <v>3391</v>
      </c>
      <c r="D114" s="553"/>
      <c r="E114" s="582"/>
      <c r="F114" s="582"/>
      <c r="G114" s="582"/>
      <c r="H114" s="582"/>
      <c r="I114" s="582"/>
      <c r="J114" s="582"/>
      <c r="K114" s="583"/>
      <c r="L114" s="584"/>
      <c r="M114" s="585"/>
      <c r="N114" s="1150"/>
      <c r="O114" s="1150"/>
      <c r="P114" s="2620"/>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0"/>
      <c r="Q115" s="503"/>
    </row>
    <row r="116" spans="1:17" ht="15" thickTop="1">
      <c r="A116" s="598"/>
      <c r="B116" s="537" t="s">
        <v>2610</v>
      </c>
      <c r="C116" s="2959" t="s">
        <v>3392</v>
      </c>
      <c r="D116" s="553"/>
      <c r="E116" s="553"/>
      <c r="F116" s="553"/>
      <c r="G116" s="553"/>
      <c r="H116" s="582"/>
      <c r="I116" s="582"/>
      <c r="J116" s="582"/>
      <c r="K116" s="583"/>
      <c r="L116" s="584"/>
      <c r="M116" s="585"/>
      <c r="N116" s="1150"/>
      <c r="O116" s="1150"/>
      <c r="P116" s="262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0"/>
      <c r="Q117" s="503"/>
    </row>
    <row r="118" spans="1:17" ht="15" thickTop="1">
      <c r="A118" s="598"/>
      <c r="B118" s="537" t="s">
        <v>2611</v>
      </c>
      <c r="C118" s="2960" t="s">
        <v>3394</v>
      </c>
      <c r="D118" s="582"/>
      <c r="E118" s="582"/>
      <c r="F118" s="582"/>
      <c r="G118" s="582"/>
      <c r="H118" s="582"/>
      <c r="I118" s="582"/>
      <c r="J118" s="582"/>
      <c r="K118" s="583"/>
      <c r="L118" s="584"/>
      <c r="M118" s="585"/>
      <c r="N118" s="1150"/>
      <c r="O118" s="1150"/>
      <c r="P118" s="2620"/>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1"/>
      <c r="O119" s="1151"/>
      <c r="P119" s="2620"/>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1"/>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1"/>
      <c r="Q121" s="558"/>
    </row>
    <row r="122" spans="1:17" ht="15" thickTop="1">
      <c r="A122" s="598"/>
      <c r="B122" s="537" t="s">
        <v>2612</v>
      </c>
      <c r="C122" s="2959" t="s">
        <v>3389</v>
      </c>
      <c r="D122" s="2959" t="s">
        <v>3395</v>
      </c>
      <c r="E122" s="2959" t="s">
        <v>3397</v>
      </c>
      <c r="F122" s="582"/>
      <c r="G122" s="582"/>
      <c r="H122" s="582"/>
      <c r="I122" s="582"/>
      <c r="J122" s="582"/>
      <c r="K122" s="583"/>
      <c r="L122" s="584"/>
      <c r="M122" s="585"/>
      <c r="N122" s="1150"/>
      <c r="O122" s="1150"/>
      <c r="P122" s="2620"/>
      <c r="Q122" s="503"/>
    </row>
    <row r="123" spans="1:17" ht="15.75" thickBot="1">
      <c r="A123" s="533"/>
      <c r="B123" s="542"/>
      <c r="C123" s="543">
        <v>100</v>
      </c>
      <c r="D123" s="543">
        <f t="shared" ref="D123:M123" si="33">C123-$K42</f>
        <v>95</v>
      </c>
      <c r="E123" s="543">
        <f t="shared" si="33"/>
        <v>90</v>
      </c>
      <c r="F123" s="543">
        <f t="shared" si="33"/>
        <v>85</v>
      </c>
      <c r="G123" s="543">
        <f t="shared" si="33"/>
        <v>80</v>
      </c>
      <c r="H123" s="543">
        <f t="shared" si="33"/>
        <v>75</v>
      </c>
      <c r="I123" s="543">
        <f t="shared" si="33"/>
        <v>70</v>
      </c>
      <c r="J123" s="543">
        <f t="shared" si="33"/>
        <v>65</v>
      </c>
      <c r="K123" s="543">
        <f t="shared" si="33"/>
        <v>60</v>
      </c>
      <c r="L123" s="543">
        <f t="shared" si="33"/>
        <v>55</v>
      </c>
      <c r="M123" s="543">
        <f t="shared" si="33"/>
        <v>50</v>
      </c>
      <c r="N123" s="1151"/>
      <c r="O123" s="1151"/>
      <c r="P123" s="2620"/>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0"/>
      <c r="Q125" s="503"/>
    </row>
    <row r="126" spans="1:17" s="470" customFormat="1" ht="15" hidden="1" thickTop="1">
      <c r="A126" s="592"/>
      <c r="B126" s="537">
        <f>B44</f>
        <v>0</v>
      </c>
      <c r="C126" s="553"/>
      <c r="D126" s="553"/>
      <c r="E126" s="553"/>
      <c r="F126" s="553"/>
      <c r="G126" s="553"/>
      <c r="H126" s="554"/>
      <c r="I126" s="554"/>
      <c r="J126" s="554"/>
      <c r="K126" s="554"/>
      <c r="L126" s="555"/>
      <c r="M126" s="556"/>
      <c r="N126" s="1152"/>
      <c r="O126" s="1152"/>
      <c r="P126" s="2621"/>
      <c r="Q126" s="558"/>
    </row>
    <row r="127" spans="1:17" s="470" customFormat="1" ht="15.75" hidden="1" thickBot="1">
      <c r="A127" s="552"/>
      <c r="B127" s="542"/>
      <c r="C127" s="559"/>
      <c r="D127" s="535"/>
      <c r="E127" s="535"/>
      <c r="F127" s="535"/>
      <c r="G127" s="559"/>
      <c r="H127" s="561"/>
      <c r="I127" s="561"/>
      <c r="J127" s="561"/>
      <c r="K127" s="561"/>
      <c r="L127" s="561"/>
      <c r="M127" s="562"/>
      <c r="N127" s="1152"/>
      <c r="O127" s="1152"/>
      <c r="P127" s="2621"/>
      <c r="Q127" s="558"/>
    </row>
    <row r="128" spans="1:17" ht="15" hidden="1" thickTop="1">
      <c r="A128" s="598"/>
      <c r="B128" s="537">
        <f>B45</f>
        <v>0</v>
      </c>
      <c r="C128" s="553"/>
      <c r="D128" s="553"/>
      <c r="E128" s="553"/>
      <c r="F128" s="553"/>
      <c r="G128" s="582"/>
      <c r="H128" s="582"/>
      <c r="I128" s="582"/>
      <c r="J128" s="582"/>
      <c r="K128" s="583"/>
      <c r="L128" s="584"/>
      <c r="M128" s="585"/>
      <c r="N128" s="1150"/>
      <c r="O128" s="1150"/>
      <c r="P128" s="2620"/>
      <c r="Q128" s="503"/>
    </row>
    <row r="129" spans="1:17" ht="15.75" hidden="1" thickBot="1">
      <c r="A129" s="533"/>
      <c r="B129" s="542"/>
      <c r="C129" s="559"/>
      <c r="D129" s="559"/>
      <c r="E129" s="559"/>
      <c r="F129" s="559"/>
      <c r="G129" s="535"/>
      <c r="H129" s="535"/>
      <c r="I129" s="535"/>
      <c r="J129" s="535"/>
      <c r="K129" s="535"/>
      <c r="L129" s="535"/>
      <c r="M129" s="536"/>
      <c r="N129" s="1151"/>
      <c r="O129" s="1151"/>
      <c r="P129" s="2620"/>
      <c r="Q129" s="503"/>
    </row>
    <row r="130" spans="1:17" ht="15" hidden="1" thickTop="1">
      <c r="A130" s="598"/>
      <c r="B130" s="545">
        <f>B46</f>
        <v>0</v>
      </c>
      <c r="C130" s="553"/>
      <c r="D130" s="553"/>
      <c r="E130" s="553"/>
      <c r="F130" s="553"/>
      <c r="G130" s="586"/>
      <c r="H130" s="586"/>
      <c r="I130" s="586"/>
      <c r="J130" s="586"/>
      <c r="K130" s="522"/>
      <c r="L130" s="523"/>
      <c r="M130" s="589"/>
      <c r="N130" s="1150"/>
      <c r="O130" s="1150"/>
      <c r="P130" s="2620"/>
      <c r="Q130" s="503"/>
    </row>
    <row r="131" spans="1:17" ht="15.75" hidden="1" thickBot="1">
      <c r="A131" s="2626"/>
      <c r="B131" s="568"/>
      <c r="C131" s="569"/>
      <c r="D131" s="569"/>
      <c r="E131" s="569"/>
      <c r="F131" s="569"/>
      <c r="G131" s="590"/>
      <c r="H131" s="590"/>
      <c r="I131" s="590"/>
      <c r="J131" s="590"/>
      <c r="K131" s="590"/>
      <c r="L131" s="590"/>
      <c r="M131" s="591"/>
      <c r="N131" s="1151"/>
      <c r="O131" s="1151"/>
      <c r="P131" s="2620"/>
      <c r="Q131" s="503"/>
    </row>
    <row r="132" spans="1:17" ht="15" thickTop="1"/>
    <row r="136" spans="1:17" ht="15" thickBot="1">
      <c r="B136" s="2627" t="s">
        <v>2614</v>
      </c>
    </row>
    <row r="137" spans="1:17" ht="15">
      <c r="B137" s="2628" t="s">
        <v>2615</v>
      </c>
      <c r="C137" s="2629"/>
      <c r="D137" s="2629"/>
      <c r="E137" s="2629"/>
      <c r="F137" s="2629"/>
      <c r="G137" s="2630"/>
      <c r="H137" s="2631"/>
      <c r="I137" s="2632" t="s">
        <v>2616</v>
      </c>
      <c r="J137" s="2629"/>
      <c r="K137" s="2633"/>
    </row>
    <row r="138" spans="1:17" ht="15">
      <c r="B138" s="2634"/>
      <c r="C138" s="145" t="s">
        <v>2617</v>
      </c>
      <c r="D138" s="145" t="s">
        <v>2618</v>
      </c>
      <c r="E138" s="2635" t="s">
        <v>2619</v>
      </c>
      <c r="F138" s="2636" t="s">
        <v>2620</v>
      </c>
      <c r="G138" s="145" t="s">
        <v>2618</v>
      </c>
      <c r="H138" s="146" t="s">
        <v>2619</v>
      </c>
      <c r="I138" s="2637"/>
      <c r="J138" s="145" t="s">
        <v>2621</v>
      </c>
      <c r="K138" s="146" t="s">
        <v>2622</v>
      </c>
    </row>
    <row r="139" spans="1:17" ht="15">
      <c r="B139" s="1082">
        <v>6</v>
      </c>
      <c r="C139" s="1083">
        <v>96</v>
      </c>
      <c r="D139" s="2638" t="s">
        <v>2623</v>
      </c>
      <c r="E139" s="1084">
        <v>100</v>
      </c>
      <c r="F139" s="1085">
        <v>102.5</v>
      </c>
      <c r="G139" s="2638" t="s">
        <v>2623</v>
      </c>
      <c r="H139" s="1086">
        <v>105</v>
      </c>
      <c r="I139" s="2639" t="s">
        <v>2624</v>
      </c>
      <c r="J139" s="1083">
        <v>20</v>
      </c>
      <c r="K139" s="1087">
        <f>C145/(J139-2)</f>
        <v>4.0555555555555553E-3</v>
      </c>
    </row>
    <row r="140" spans="1:17" ht="15">
      <c r="B140" s="1088">
        <v>5</v>
      </c>
      <c r="C140" s="1089">
        <v>100</v>
      </c>
      <c r="D140" s="1089"/>
      <c r="E140" s="1090"/>
      <c r="F140" s="1091">
        <v>102</v>
      </c>
      <c r="G140" s="1089"/>
      <c r="H140" s="1092"/>
      <c r="I140" s="2640" t="s">
        <v>2625</v>
      </c>
      <c r="J140" s="314">
        <f>ROUNDUP((J139-1)/2,0)</f>
        <v>10</v>
      </c>
      <c r="K140" s="1093">
        <v>100</v>
      </c>
    </row>
    <row r="141" spans="1:17" ht="15">
      <c r="B141" s="1088">
        <v>4</v>
      </c>
      <c r="C141" s="1089">
        <v>102</v>
      </c>
      <c r="D141" s="1089"/>
      <c r="E141" s="1090"/>
      <c r="F141" s="1091">
        <v>101.5</v>
      </c>
      <c r="G141" s="1089"/>
      <c r="H141" s="1092"/>
      <c r="I141" s="2640" t="s">
        <v>2626</v>
      </c>
      <c r="J141" s="314">
        <v>1</v>
      </c>
      <c r="K141" s="1094">
        <f>ROUND(100+(J141-J140)*K139*100,1)</f>
        <v>96.4</v>
      </c>
    </row>
    <row r="142" spans="1:17" ht="15">
      <c r="B142" s="1088">
        <v>3</v>
      </c>
      <c r="C142" s="1089">
        <v>103</v>
      </c>
      <c r="D142" s="1089"/>
      <c r="E142" s="1090"/>
      <c r="F142" s="1091">
        <v>101</v>
      </c>
      <c r="G142" s="1089"/>
      <c r="H142" s="1092"/>
      <c r="I142" s="2640" t="s">
        <v>2627</v>
      </c>
      <c r="J142" s="314">
        <f>J139</f>
        <v>20</v>
      </c>
      <c r="K142" s="1095">
        <v>95</v>
      </c>
    </row>
    <row r="143" spans="1:17" ht="15">
      <c r="B143" s="1088">
        <v>2</v>
      </c>
      <c r="C143" s="1089">
        <v>100</v>
      </c>
      <c r="D143" s="1089"/>
      <c r="E143" s="1090"/>
      <c r="F143" s="1091">
        <v>100.5</v>
      </c>
      <c r="G143" s="1089"/>
      <c r="H143" s="1092"/>
      <c r="I143" s="2640" t="s">
        <v>2628</v>
      </c>
      <c r="J143" s="1089">
        <v>15</v>
      </c>
      <c r="K143" s="1094">
        <f>ROUND(100+(J143-J140)*K139*100,1)</f>
        <v>102</v>
      </c>
    </row>
    <row r="144" spans="1:17" ht="15">
      <c r="B144" s="1088">
        <v>1</v>
      </c>
      <c r="C144" s="1089">
        <v>98</v>
      </c>
      <c r="D144" s="2641" t="s">
        <v>2629</v>
      </c>
      <c r="E144" s="1090">
        <v>102</v>
      </c>
      <c r="F144" s="1096">
        <v>100</v>
      </c>
      <c r="G144" s="2641" t="s">
        <v>2629</v>
      </c>
      <c r="H144" s="1092">
        <v>105</v>
      </c>
      <c r="I144" s="2640" t="s">
        <v>2628</v>
      </c>
      <c r="J144" s="1089">
        <v>18</v>
      </c>
      <c r="K144" s="1094">
        <f>ROUND(100+(J144-J140)*K139*100,1)</f>
        <v>103.2</v>
      </c>
    </row>
    <row r="145" spans="2:11" ht="15.75" thickBot="1">
      <c r="B145" s="2642" t="s">
        <v>2630</v>
      </c>
      <c r="C145" s="1097">
        <f>ROUND(MAX(C139:C144)/MIN(C139:C144)-1,3)</f>
        <v>7.2999999999999995E-2</v>
      </c>
      <c r="D145" s="1098"/>
      <c r="E145" s="1098"/>
      <c r="F145" s="2643" t="s">
        <v>2631</v>
      </c>
      <c r="G145" s="2644"/>
      <c r="H145" s="2645"/>
      <c r="I145" s="2646" t="s">
        <v>2628</v>
      </c>
      <c r="J145" s="1099">
        <v>8</v>
      </c>
      <c r="K145" s="1100">
        <f>ROUND(100+(J145-J140)*K139*100,1)</f>
        <v>99.2</v>
      </c>
    </row>
    <row r="147" spans="2:11">
      <c r="B147" s="2627" t="s">
        <v>2632</v>
      </c>
    </row>
    <row r="148" spans="2:11">
      <c r="B148" s="2627"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70" zoomScaleNormal="70" zoomScaleSheetLayoutView="90" zoomScalePageLayoutView="70" workbookViewId="0">
      <selection activeCell="B5" sqref="B5"/>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3074</v>
      </c>
      <c r="D1" s="1816" t="s">
        <v>3093</v>
      </c>
      <c r="E1" s="1817" t="s">
        <v>1387</v>
      </c>
      <c r="F1" s="1281">
        <f ca="1">J53</f>
        <v>36.119999999999997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19386</v>
      </c>
      <c r="C2" s="1841" t="s">
        <v>1516</v>
      </c>
      <c r="D2" s="1841"/>
      <c r="E2" s="1842"/>
      <c r="F2" s="1843"/>
      <c r="G2" s="1844"/>
      <c r="H2" s="1836"/>
      <c r="I2" s="1836"/>
      <c r="J2" s="1836"/>
      <c r="K2" s="1837"/>
      <c r="L2" s="1836"/>
      <c r="M2" s="1836"/>
    </row>
    <row r="3" spans="1:37" ht="18" customHeight="1" thickBot="1">
      <c r="A3" s="1845" t="s">
        <v>1517</v>
      </c>
      <c r="B3" s="1846">
        <f ca="1">IF(ISERROR(B2*10000/F43),0,ROUND(B2*10000/F43,0))</f>
        <v>17887</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1246</v>
      </c>
      <c r="D5" s="1818" t="s">
        <v>1402</v>
      </c>
      <c r="E5" s="1291"/>
      <c r="F5" s="1292"/>
      <c r="G5" s="1847"/>
      <c r="H5" s="343">
        <v>1</v>
      </c>
      <c r="I5" s="344" t="s">
        <v>1401</v>
      </c>
      <c r="J5" s="1290">
        <f ca="1">J6+J10+J12</f>
        <v>0</v>
      </c>
      <c r="K5" s="1818" t="s">
        <v>1402</v>
      </c>
      <c r="L5" s="1291"/>
      <c r="M5" s="1292"/>
    </row>
    <row r="6" spans="1:37" ht="18" customHeight="1">
      <c r="A6" s="1289" t="s">
        <v>1035</v>
      </c>
      <c r="B6" s="3239" t="s">
        <v>1403</v>
      </c>
      <c r="C6" s="1294">
        <f ca="1">ROUND(F6*F8*F7*(1-F9)/10000,0)</f>
        <v>1246</v>
      </c>
      <c r="D6" s="163" t="s">
        <v>3024</v>
      </c>
      <c r="E6" s="346" t="s">
        <v>1405</v>
      </c>
      <c r="F6" s="347">
        <f ca="1">INDIRECT("'数据-取费表'!u"&amp;$G$1)</f>
        <v>3.5</v>
      </c>
      <c r="G6" s="1847"/>
      <c r="H6" s="1289" t="s">
        <v>1035</v>
      </c>
      <c r="I6" s="3239" t="s">
        <v>1403</v>
      </c>
      <c r="J6" s="345">
        <f ca="1">ROUND(M6*M8*M7*(1-M9)/10000,0)</f>
        <v>0</v>
      </c>
      <c r="K6" s="163" t="s">
        <v>3023</v>
      </c>
      <c r="L6" s="346" t="s">
        <v>1405</v>
      </c>
      <c r="M6" s="347">
        <f ca="1">INDIRECT("'数据-取费表'!z"&amp;$G$1)</f>
        <v>0</v>
      </c>
    </row>
    <row r="7" spans="1:37" ht="18" customHeight="1">
      <c r="A7" s="1293"/>
      <c r="B7" s="3240"/>
      <c r="C7" s="1295"/>
      <c r="D7" s="351"/>
      <c r="E7" s="1296" t="s">
        <v>1406</v>
      </c>
      <c r="F7" s="347">
        <f ca="1">IF(INDIRECT("'数据-取费表'!ah"&amp;$G$1)="",INDIRECT("'数据-取费表'!k"&amp;$G$1),INDIRECT("'数据-取费表'!ah"&amp;$G$1))</f>
        <v>10838.060000000001</v>
      </c>
      <c r="G7" s="1847"/>
      <c r="H7" s="348"/>
      <c r="I7" s="3240"/>
      <c r="J7" s="350"/>
      <c r="K7" s="351"/>
      <c r="L7" s="346" t="s">
        <v>1406</v>
      </c>
      <c r="M7" s="347">
        <f ca="1">F7</f>
        <v>10838.060000000001</v>
      </c>
    </row>
    <row r="8" spans="1:37" ht="18" customHeight="1">
      <c r="A8" s="348"/>
      <c r="B8" s="3240"/>
      <c r="C8" s="350"/>
      <c r="D8" s="351"/>
      <c r="E8" s="346" t="s">
        <v>1407</v>
      </c>
      <c r="F8" s="347">
        <f ca="1">INDIRECT("'数据-取费表'!ai"&amp;$G$1)</f>
        <v>365</v>
      </c>
      <c r="G8" s="1847"/>
      <c r="H8" s="348"/>
      <c r="I8" s="3240"/>
      <c r="J8" s="350"/>
      <c r="K8" s="351"/>
      <c r="L8" s="346" t="s">
        <v>1407</v>
      </c>
      <c r="M8" s="347">
        <f ca="1">INDIRECT("'数据-取费表'!ai"&amp;$G$1)</f>
        <v>365</v>
      </c>
    </row>
    <row r="9" spans="1:37" ht="18" customHeight="1">
      <c r="A9" s="348"/>
      <c r="B9" s="3241"/>
      <c r="C9" s="350"/>
      <c r="D9" s="351"/>
      <c r="E9" s="346" t="s">
        <v>1408</v>
      </c>
      <c r="F9" s="356">
        <f ca="1">INDIRECT("'数据-取费表'!w"&amp;$G$1)</f>
        <v>0.1</v>
      </c>
      <c r="G9" s="1847"/>
      <c r="H9" s="348"/>
      <c r="I9" s="3241"/>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6779</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4437</v>
      </c>
      <c r="D14" s="1796" t="s">
        <v>1418</v>
      </c>
      <c r="E14" s="1790"/>
      <c r="F14" s="363"/>
      <c r="G14" s="1847"/>
      <c r="H14" s="1199" t="s">
        <v>1035</v>
      </c>
      <c r="I14" s="346" t="s">
        <v>1419</v>
      </c>
      <c r="J14" s="24">
        <f ca="1">C29</f>
        <v>6779</v>
      </c>
      <c r="K14" s="15"/>
      <c r="L14" s="977"/>
      <c r="M14" s="978"/>
    </row>
    <row r="15" spans="1:37" s="1854" customFormat="1" ht="18" customHeight="1" thickBot="1">
      <c r="A15" s="1199" t="s">
        <v>1036</v>
      </c>
      <c r="B15" s="346" t="s">
        <v>1420</v>
      </c>
      <c r="C15" s="24">
        <f ca="1">ROUND(C14*F15,0)</f>
        <v>133</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163</v>
      </c>
      <c r="K16" s="1335" t="s">
        <v>1425</v>
      </c>
      <c r="L16" s="1336"/>
      <c r="M16" s="1292"/>
    </row>
    <row r="17" spans="1:37" s="1854" customFormat="1" ht="18" customHeight="1">
      <c r="A17" s="1199" t="s">
        <v>1390</v>
      </c>
      <c r="B17" s="346" t="s">
        <v>1426</v>
      </c>
      <c r="C17" s="24">
        <f ca="1">ROUND(F17*(F43+INDIRECT("'数据-取费表'!S"&amp;$G$1))/10000,0)</f>
        <v>225</v>
      </c>
      <c r="D17" s="346" t="s">
        <v>1427</v>
      </c>
      <c r="E17" s="346" t="s">
        <v>1428</v>
      </c>
      <c r="F17" s="26">
        <f>'数据-取费表'!B35</f>
        <v>200</v>
      </c>
      <c r="G17" s="1850"/>
      <c r="H17" s="1199" t="s">
        <v>1035</v>
      </c>
      <c r="I17" s="346" t="s">
        <v>1429</v>
      </c>
      <c r="J17" s="24">
        <f ca="1">ROUND(IF(项目基本情况!B11="自然人",J5*M17,J18+J19+J20),1)</f>
        <v>61.4</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67</v>
      </c>
      <c r="D18" s="346" t="s">
        <v>1421</v>
      </c>
      <c r="E18" s="346" t="s">
        <v>1422</v>
      </c>
      <c r="F18" s="366">
        <f>'数据-取费表'!B36</f>
        <v>1.4999999999999999E-2</v>
      </c>
      <c r="G18" s="1850"/>
      <c r="H18" s="1199" t="s">
        <v>1034</v>
      </c>
      <c r="I18" s="346" t="s">
        <v>1433</v>
      </c>
      <c r="J18" s="24">
        <f ca="1">ROUND(J5*M18/(1+'数据-取费表'!C42),2)</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4862</v>
      </c>
      <c r="D19" s="139" t="s">
        <v>1436</v>
      </c>
      <c r="E19" s="1814"/>
      <c r="F19" s="26"/>
      <c r="G19" s="1847"/>
      <c r="H19" s="1199" t="s">
        <v>1036</v>
      </c>
      <c r="I19" s="346" t="s">
        <v>1437</v>
      </c>
      <c r="J19" s="24">
        <f ca="1">IF(K19="按租金收入计税",ROUND(J5*M19,2),ROUND(C29*M19*0.7,2))</f>
        <v>56.94</v>
      </c>
      <c r="K19" s="1824" t="s">
        <v>1438</v>
      </c>
      <c r="L19" s="346" t="s">
        <v>1422</v>
      </c>
      <c r="M19" s="366">
        <f>IF(K19="按租金收入计税",'数据-取费表'!B51,'数据-取费表'!B50)</f>
        <v>1.2E-2</v>
      </c>
    </row>
    <row r="20" spans="1:37" s="1854" customFormat="1" ht="18" customHeight="1">
      <c r="A20" s="1199" t="s">
        <v>1039</v>
      </c>
      <c r="B20" s="346" t="s">
        <v>1439</v>
      </c>
      <c r="C20" s="24">
        <f ca="1">ROUND(C19*F20,0)</f>
        <v>97</v>
      </c>
      <c r="D20" s="368" t="s">
        <v>1440</v>
      </c>
      <c r="E20" s="346" t="s">
        <v>1422</v>
      </c>
      <c r="F20" s="366">
        <f>'数据-取费表'!B37</f>
        <v>0.02</v>
      </c>
      <c r="G20" s="1850"/>
      <c r="H20" s="1199" t="s">
        <v>1389</v>
      </c>
      <c r="I20" s="163" t="s">
        <v>1441</v>
      </c>
      <c r="J20" s="25">
        <f ca="1">ROUND(M20*M21/10000,2)</f>
        <v>4.4800000000000004</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18</v>
      </c>
      <c r="D21" s="368" t="s">
        <v>1445</v>
      </c>
      <c r="E21" s="346" t="s">
        <v>1446</v>
      </c>
      <c r="F21" s="366">
        <f>'数据-取费表'!B38</f>
        <v>0.02</v>
      </c>
      <c r="G21" s="1850"/>
      <c r="H21" s="371"/>
      <c r="I21" s="355"/>
      <c r="J21" s="29"/>
      <c r="K21" s="372"/>
      <c r="L21" s="346" t="s">
        <v>1447</v>
      </c>
      <c r="M21" s="347">
        <f ca="1">INDIRECT("'数据-取费表'!r"&amp;$G$1)</f>
        <v>2490.2199999999998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4"/>
      <c r="F22" s="26"/>
      <c r="G22" s="1847"/>
      <c r="H22" s="1199" t="s">
        <v>1039</v>
      </c>
      <c r="I22" s="346" t="s">
        <v>1449</v>
      </c>
      <c r="J22" s="24">
        <f ca="1">ROUND(J14*M22,1)</f>
        <v>101.7</v>
      </c>
      <c r="K22" s="1794"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296</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1794" t="s">
        <v>1454</v>
      </c>
      <c r="L23" s="346" t="s">
        <v>1455</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0"/>
      <c r="H24" s="1337" t="s">
        <v>1393</v>
      </c>
      <c r="I24" s="1338" t="s">
        <v>1439</v>
      </c>
      <c r="J24" s="1339">
        <f ca="1">ROUND(J5*M24,1)</f>
        <v>0</v>
      </c>
      <c r="K24" s="1340" t="s">
        <v>1459</v>
      </c>
      <c r="L24" s="1338" t="s">
        <v>1455</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1814"/>
      <c r="F25" s="26"/>
      <c r="G25" s="1847"/>
      <c r="H25" s="1327" t="s">
        <v>1031</v>
      </c>
      <c r="I25" s="1342" t="s">
        <v>1463</v>
      </c>
      <c r="J25" s="354">
        <f ca="1">J5-J16</f>
        <v>-163</v>
      </c>
      <c r="K25" s="1343" t="s">
        <v>1464</v>
      </c>
      <c r="L25" s="1344"/>
      <c r="M25" s="1345"/>
    </row>
    <row r="26" spans="1:37">
      <c r="A26" s="1199" t="s">
        <v>1034</v>
      </c>
      <c r="B26" s="346" t="s">
        <v>1465</v>
      </c>
      <c r="C26" s="24">
        <f ca="1">ROUND((C19+C20)*F26,0)</f>
        <v>992</v>
      </c>
      <c r="D26" s="368" t="s">
        <v>1466</v>
      </c>
      <c r="E26" s="357" t="s">
        <v>1467</v>
      </c>
      <c r="F26" s="356">
        <f ca="1">INDIRECT("'数据-取费表'!q"&amp;$G$1)</f>
        <v>0.2</v>
      </c>
      <c r="G26" s="1847"/>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4.0000000000000001E-3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6779</v>
      </c>
      <c r="D29" s="1340"/>
      <c r="E29" s="1338"/>
      <c r="F29" s="1341"/>
      <c r="G29" s="1850"/>
      <c r="H29" s="379" t="s">
        <v>1033</v>
      </c>
      <c r="I29" s="380" t="s">
        <v>1479</v>
      </c>
      <c r="J29" s="381">
        <f ca="1">ROUND(J26/(1+F40)^F41,0)</f>
        <v>0</v>
      </c>
      <c r="K29" s="382" t="s">
        <v>1480</v>
      </c>
      <c r="L29" s="383"/>
      <c r="M29" s="384">
        <f ca="1">INDIRECT("'数据-取费表'!k"&amp;$G$1)</f>
        <v>10838.060000000001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345</v>
      </c>
      <c r="D30" s="1335" t="s">
        <v>1425</v>
      </c>
      <c r="E30" s="1336"/>
      <c r="F30" s="1292"/>
      <c r="G30" s="1847"/>
      <c r="H30" s="744"/>
      <c r="I30" s="745"/>
      <c r="J30" s="746"/>
      <c r="K30" s="747"/>
      <c r="L30" s="748"/>
      <c r="M30" s="749"/>
    </row>
    <row r="31" spans="1:37" ht="18" customHeight="1">
      <c r="A31" s="1199" t="s">
        <v>1035</v>
      </c>
      <c r="B31" s="346" t="s">
        <v>1429</v>
      </c>
      <c r="C31" s="24">
        <f ca="1">ROUND(IF(项目基本情况!B11="自然人",C5*F31,C32+C33+C34),1)</f>
        <v>220.5</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66.45</v>
      </c>
      <c r="D32" s="1794"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149.52000000000001</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4.4800000000000004</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2490.2199999999998</v>
      </c>
      <c r="G35" s="1847"/>
      <c r="H35" s="744"/>
      <c r="I35" s="1856"/>
      <c r="J35" s="1857"/>
      <c r="K35" s="1858"/>
      <c r="L35" s="1855"/>
      <c r="M35" s="1855"/>
    </row>
    <row r="36" spans="1:18" ht="18" customHeight="1">
      <c r="A36" s="1350" t="s">
        <v>1039</v>
      </c>
      <c r="B36" s="346" t="s">
        <v>1449</v>
      </c>
      <c r="C36" s="24">
        <f ca="1">ROUND(C29*F36,1)</f>
        <v>101.7</v>
      </c>
      <c r="D36" s="1794"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10.199999999999999</v>
      </c>
      <c r="D37" s="1794" t="s">
        <v>1454</v>
      </c>
      <c r="E37" s="346" t="s">
        <v>1455</v>
      </c>
      <c r="F37" s="375">
        <f ca="1">INDIRECT("'数据-取费表'!Al"&amp;$G$1)</f>
        <v>1.5E-3</v>
      </c>
      <c r="G37" s="1847"/>
      <c r="H37" s="1855"/>
      <c r="I37" s="1856"/>
      <c r="J37" s="1857"/>
      <c r="K37" s="750"/>
      <c r="L37" s="1855"/>
      <c r="M37" s="1855"/>
    </row>
    <row r="38" spans="1:18" ht="18" customHeight="1" thickBot="1">
      <c r="A38" s="1337" t="s">
        <v>1393</v>
      </c>
      <c r="B38" s="1338" t="s">
        <v>1439</v>
      </c>
      <c r="C38" s="1339">
        <f ca="1">ROUND(C5*F38,1)</f>
        <v>12.5</v>
      </c>
      <c r="D38" s="1340" t="s">
        <v>1459</v>
      </c>
      <c r="E38" s="1338" t="s">
        <v>1455</v>
      </c>
      <c r="F38" s="1334">
        <f ca="1">INDIRECT("'数据-取费表'!Am"&amp;$G$1)</f>
        <v>0.01</v>
      </c>
      <c r="G38" s="1847"/>
      <c r="H38" s="1855"/>
      <c r="I38" s="1856"/>
      <c r="J38" s="1857"/>
      <c r="K38" s="1861"/>
      <c r="L38" s="1855"/>
      <c r="M38" s="1855"/>
    </row>
    <row r="39" spans="1:18" ht="24.6" customHeight="1" thickTop="1">
      <c r="A39" s="1327" t="s">
        <v>1031</v>
      </c>
      <c r="B39" s="1342" t="s">
        <v>1483</v>
      </c>
      <c r="C39" s="354">
        <f ca="1">C5-C30</f>
        <v>901</v>
      </c>
      <c r="D39" s="1343" t="s">
        <v>1484</v>
      </c>
      <c r="E39" s="1344"/>
      <c r="F39" s="1345"/>
      <c r="G39" s="1847"/>
      <c r="H39" s="1855"/>
      <c r="I39" s="1856"/>
      <c r="J39" s="1857"/>
      <c r="K39" s="1861"/>
      <c r="L39" s="1855"/>
      <c r="M39" s="1855"/>
    </row>
    <row r="40" spans="1:18" ht="18" customHeight="1">
      <c r="A40" s="343" t="s">
        <v>1032</v>
      </c>
      <c r="B40" s="344" t="s">
        <v>1485</v>
      </c>
      <c r="C40" s="345">
        <f ca="1">ROUND(C39*(1-((1+F42)/(1+F40))^F41)/(F40-F42),0)</f>
        <v>19386</v>
      </c>
      <c r="D40" s="369" t="s">
        <v>1469</v>
      </c>
      <c r="E40" s="346" t="s">
        <v>1470</v>
      </c>
      <c r="F40" s="356">
        <f ca="1">INDIRECT("'数据-取费表'!I"&amp;$G$1)</f>
        <v>0.06</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36.119999999999997</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17887</v>
      </c>
      <c r="D43" s="382" t="s">
        <v>1488</v>
      </c>
      <c r="E43" s="383" t="s">
        <v>1489</v>
      </c>
      <c r="F43" s="384">
        <f ca="1">INDIRECT("'数据-取费表'!k"&amp;$G$1)</f>
        <v>10838.060000000001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-29426</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40</v>
      </c>
      <c r="M47" s="1834" t="str">
        <f>IF(ISNUMBER(FIND("住宅",C1)),"住宅","非住宅")</f>
        <v>非住宅</v>
      </c>
      <c r="O47" s="1880" t="s">
        <v>1040</v>
      </c>
      <c r="P47" s="1881" t="s">
        <v>1528</v>
      </c>
      <c r="Q47" s="1882">
        <f ca="1">C40+J29</f>
        <v>19386</v>
      </c>
      <c r="R47" s="1882" t="s">
        <v>1529</v>
      </c>
    </row>
    <row r="48" spans="1:18" s="1838" customFormat="1" ht="28.5" thickBot="1">
      <c r="A48" s="1358" t="s">
        <v>1135</v>
      </c>
      <c r="B48" s="344" t="s">
        <v>1401</v>
      </c>
      <c r="C48" s="1813">
        <f ca="1">C49+C53+C55</f>
        <v>0</v>
      </c>
      <c r="D48" s="1360"/>
      <c r="E48" s="1361"/>
      <c r="F48" s="1179"/>
      <c r="G48" s="791"/>
      <c r="H48" s="792"/>
      <c r="I48" s="1883" t="s">
        <v>1530</v>
      </c>
      <c r="J48" s="1884" t="s">
        <v>3096</v>
      </c>
      <c r="K48" s="1885" t="s">
        <v>1531</v>
      </c>
      <c r="L48" s="1886">
        <f ca="1">INDIRECT("'数据-取费表'!f"&amp;$G$1)</f>
        <v>37.82</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6779</v>
      </c>
      <c r="R49" s="1882" t="s">
        <v>1529</v>
      </c>
    </row>
    <row r="50" spans="1:18" s="1838" customFormat="1" ht="13.5" thickBot="1">
      <c r="A50" s="1193"/>
      <c r="B50" s="1196"/>
      <c r="C50" s="1366"/>
      <c r="D50" s="1170"/>
      <c r="E50" s="1275" t="s">
        <v>1406</v>
      </c>
      <c r="F50" s="1276">
        <f ca="1">F7</f>
        <v>10838.060000000001</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5469</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36.119999999999997</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36.119999999999997</v>
      </c>
      <c r="K53" s="3237" t="s">
        <v>1548</v>
      </c>
      <c r="L53" s="3238"/>
      <c r="O53" s="1880" t="s">
        <v>1046</v>
      </c>
      <c r="P53" s="1881" t="s">
        <v>1549</v>
      </c>
      <c r="Q53" s="1882">
        <f ca="1">Q47+Q48</f>
        <v>19386</v>
      </c>
      <c r="R53" s="1882" t="s">
        <v>1047</v>
      </c>
    </row>
    <row r="54" spans="1:18" s="1838" customFormat="1" ht="13.5" thickBot="1">
      <c r="A54" s="1403"/>
      <c r="B54" s="1821" t="s">
        <v>1388</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1828"/>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6779</v>
      </c>
      <c r="D56" s="1910"/>
      <c r="E56" s="1911"/>
      <c r="F56" s="1903"/>
      <c r="I56" s="1912" t="s">
        <v>1554</v>
      </c>
      <c r="J56" s="1913" t="s">
        <v>3053</v>
      </c>
      <c r="K56" s="1883" t="s">
        <v>1555</v>
      </c>
      <c r="L56" s="1886" t="str">
        <f ca="1">IF(L48&lt;J51,"——",L48-J53)</f>
        <v>——</v>
      </c>
      <c r="O56" s="1880" t="s">
        <v>1040</v>
      </c>
      <c r="P56" s="1881" t="s">
        <v>1528</v>
      </c>
      <c r="Q56" s="1882">
        <f ca="1">C40+J29</f>
        <v>19386</v>
      </c>
      <c r="R56" s="1882" t="s">
        <v>1529</v>
      </c>
    </row>
    <row r="57" spans="1:18" s="1838" customFormat="1" ht="24.75" thickBot="1">
      <c r="A57" s="1914"/>
      <c r="B57" s="1167" t="s">
        <v>1478</v>
      </c>
      <c r="C57" s="281">
        <f ca="1">C29</f>
        <v>6779</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686</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573.9</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1493</v>
      </c>
      <c r="C61" s="24">
        <f ca="1">IF(项目基本情况!B11="自然人","——",IF(D61="按租金收入计税",ROUND(C48*F61,2),IF(D61="按房产原值计税",ROUND(C57*F61*0.7,2),INDIRECT("'数据-取费表'!Aj"&amp;$G$1))))</f>
        <v>569.44000000000005</v>
      </c>
      <c r="D61" s="1824" t="s">
        <v>1438</v>
      </c>
      <c r="E61" s="1167" t="s">
        <v>1494</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1496</v>
      </c>
      <c r="C62" s="25">
        <f ca="1">IF(项目基本情况!B11="自然人","——",ROUND(F62*F63/10000,2))</f>
        <v>4.4800000000000004</v>
      </c>
      <c r="D62" s="1182" t="s">
        <v>1497</v>
      </c>
      <c r="E62" s="1167" t="s">
        <v>1498</v>
      </c>
      <c r="F62" s="370">
        <f t="shared" si="0"/>
        <v>18</v>
      </c>
      <c r="I62" s="1925" t="s">
        <v>1570</v>
      </c>
      <c r="J62" s="1926" t="s">
        <v>1571</v>
      </c>
      <c r="K62" s="1926" t="s">
        <v>1572</v>
      </c>
      <c r="L62" s="1926" t="s">
        <v>1573</v>
      </c>
      <c r="M62" s="1927" t="s">
        <v>1574</v>
      </c>
      <c r="O62" s="1880" t="s">
        <v>1046</v>
      </c>
      <c r="P62" s="1881" t="s">
        <v>1575</v>
      </c>
      <c r="Q62" s="1882">
        <f ca="1">Q56+Q57</f>
        <v>19386</v>
      </c>
      <c r="R62" s="1882" t="s">
        <v>1047</v>
      </c>
    </row>
    <row r="63" spans="1:18" s="1838" customFormat="1" ht="13.5" thickBot="1">
      <c r="A63" s="371"/>
      <c r="B63" s="1173"/>
      <c r="C63" s="29"/>
      <c r="D63" s="1183"/>
      <c r="E63" s="1167" t="s">
        <v>1499</v>
      </c>
      <c r="F63" s="347">
        <f t="shared" ca="1" si="0"/>
        <v>2490.2199999999998</v>
      </c>
      <c r="I63" s="1925" t="s">
        <v>1576</v>
      </c>
      <c r="J63" s="1926">
        <v>70</v>
      </c>
      <c r="K63" s="1926">
        <v>50</v>
      </c>
      <c r="L63" s="1926">
        <v>80</v>
      </c>
      <c r="M63" s="1928">
        <v>0.02</v>
      </c>
      <c r="O63" s="1865" t="s">
        <v>1577</v>
      </c>
      <c r="P63" s="1835"/>
      <c r="Q63" s="1835"/>
      <c r="R63" s="1835"/>
    </row>
    <row r="64" spans="1:18" s="1838" customFormat="1" ht="13.5" thickBot="1">
      <c r="A64" s="1199" t="s">
        <v>1500</v>
      </c>
      <c r="B64" s="1167" t="s">
        <v>1501</v>
      </c>
      <c r="C64" s="24">
        <f ca="1">ROUND(C57*F64,1)</f>
        <v>101.7</v>
      </c>
      <c r="D64" s="1181" t="s">
        <v>1502</v>
      </c>
      <c r="E64" s="1167" t="s">
        <v>1494</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10.199999999999999</v>
      </c>
      <c r="D65" s="1181" t="s">
        <v>1454</v>
      </c>
      <c r="E65" s="1167" t="s">
        <v>1455</v>
      </c>
      <c r="F65" s="375">
        <f t="shared" ca="1" si="0"/>
        <v>1.5E-3</v>
      </c>
      <c r="I65" s="1925" t="s">
        <v>1579</v>
      </c>
      <c r="J65" s="1926">
        <v>40</v>
      </c>
      <c r="K65" s="1926">
        <v>30</v>
      </c>
      <c r="L65" s="1926">
        <v>50</v>
      </c>
      <c r="M65" s="1928">
        <v>0.02</v>
      </c>
      <c r="O65" s="1880" t="s">
        <v>1040</v>
      </c>
      <c r="P65" s="1881" t="s">
        <v>1580</v>
      </c>
      <c r="Q65" s="1882">
        <f ca="1">C40+J29</f>
        <v>19386</v>
      </c>
      <c r="R65" s="1882" t="s">
        <v>1529</v>
      </c>
    </row>
    <row r="66" spans="1:18" s="1838" customFormat="1" ht="16.5" thickBot="1">
      <c r="A66" s="1199" t="s">
        <v>1504</v>
      </c>
      <c r="B66" s="1167" t="s">
        <v>1439</v>
      </c>
      <c r="C66" s="24">
        <f ca="1">ROUND(C48*F66,1)</f>
        <v>0</v>
      </c>
      <c r="D66" s="1181" t="s">
        <v>1505</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-686</v>
      </c>
      <c r="D67" s="1180" t="s">
        <v>1464</v>
      </c>
      <c r="E67" s="1185"/>
      <c r="F67" s="1186"/>
      <c r="O67" s="1890" t="s">
        <v>1042</v>
      </c>
      <c r="P67" s="1881" t="s">
        <v>1562</v>
      </c>
      <c r="Q67" s="1929">
        <f ca="1">L51</f>
        <v>5469</v>
      </c>
      <c r="R67" s="1882" t="s">
        <v>1582</v>
      </c>
    </row>
    <row r="68" spans="1:18" s="1838" customFormat="1" ht="16.5" thickBot="1">
      <c r="A68" s="1164" t="s">
        <v>1032</v>
      </c>
      <c r="B68" s="1165" t="s">
        <v>1485</v>
      </c>
      <c r="C68" s="345">
        <f ca="1">ROUND(C67*(1-((1+F70)/(1+F68))^F69)/(F68-F70),0)</f>
        <v>-10040</v>
      </c>
      <c r="D68" s="1182" t="s">
        <v>1469</v>
      </c>
      <c r="E68" s="1167" t="s">
        <v>1470</v>
      </c>
      <c r="F68" s="356">
        <f ca="1">F40</f>
        <v>0.06</v>
      </c>
      <c r="O68" s="1890" t="s">
        <v>1043</v>
      </c>
      <c r="P68" s="1930" t="s">
        <v>1583</v>
      </c>
      <c r="Q68" s="1882">
        <f ca="1">ROUND(Q69-Q70*Q71,0)</f>
        <v>325</v>
      </c>
      <c r="R68" s="1882" t="s">
        <v>1051</v>
      </c>
    </row>
    <row r="69" spans="1:18" s="1838" customFormat="1" ht="13.5" thickBot="1">
      <c r="A69" s="1168"/>
      <c r="B69" s="1169"/>
      <c r="C69" s="350"/>
      <c r="D69" s="1187" t="s">
        <v>1473</v>
      </c>
      <c r="E69" s="1167" t="s">
        <v>1474</v>
      </c>
      <c r="F69" s="378">
        <f ca="1">F41</f>
        <v>36.119999999999997</v>
      </c>
      <c r="O69" s="1890" t="s">
        <v>1048</v>
      </c>
      <c r="P69" s="1930" t="s">
        <v>1584</v>
      </c>
      <c r="Q69" s="1882">
        <f ca="1">C39</f>
        <v>901</v>
      </c>
      <c r="R69" s="1882" t="s">
        <v>1529</v>
      </c>
    </row>
    <row r="70" spans="1:18" s="1838" customFormat="1" ht="13.5" thickBot="1">
      <c r="A70" s="1171"/>
      <c r="B70" s="1172"/>
      <c r="C70" s="354"/>
      <c r="D70" s="1183"/>
      <c r="E70" s="1167" t="s">
        <v>1477</v>
      </c>
      <c r="F70" s="1273"/>
      <c r="O70" s="1890" t="s">
        <v>1049</v>
      </c>
      <c r="P70" s="1930" t="s">
        <v>1585</v>
      </c>
      <c r="Q70" s="1882">
        <f ca="1">C13</f>
        <v>6779</v>
      </c>
      <c r="R70" s="1882" t="s">
        <v>1529</v>
      </c>
    </row>
    <row r="71" spans="1:18" s="1838" customFormat="1" ht="13.5" thickBot="1">
      <c r="A71" s="1188" t="s">
        <v>1033</v>
      </c>
      <c r="B71" s="1189" t="s">
        <v>1487</v>
      </c>
      <c r="C71" s="381">
        <f ca="1">ROUND(C68*10000/F71,0)</f>
        <v>-9264</v>
      </c>
      <c r="D71" s="1190" t="s">
        <v>1488</v>
      </c>
      <c r="E71" s="1191" t="s">
        <v>1489</v>
      </c>
      <c r="F71" s="384">
        <f ca="1">F43</f>
        <v>10838.060000000001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576</v>
      </c>
      <c r="D75" s="1838"/>
      <c r="E75" s="1838"/>
      <c r="F75" s="1838"/>
      <c r="K75" s="1864"/>
      <c r="L75" s="1838"/>
      <c r="O75" s="1880" t="s">
        <v>1046</v>
      </c>
      <c r="P75" s="1881" t="s">
        <v>1549</v>
      </c>
      <c r="Q75" s="1882">
        <f ca="1">Q65+Q66</f>
        <v>19386</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0.36099999999999999</v>
      </c>
    </row>
    <row r="80" spans="1:18">
      <c r="B80" s="385" t="s">
        <v>1511</v>
      </c>
      <c r="C80" s="317">
        <f ca="1">ROUND(C75/C39,3)</f>
        <v>0.63900000000000001</v>
      </c>
    </row>
    <row r="81" spans="2:3">
      <c r="B81" s="313" t="s">
        <v>1512</v>
      </c>
      <c r="C81" s="281"/>
    </row>
    <row r="82" spans="2:3">
      <c r="B82" s="316" t="s">
        <v>1513</v>
      </c>
      <c r="C82" s="318">
        <f ca="1">1-C83</f>
        <v>0.65</v>
      </c>
    </row>
    <row r="83" spans="2:3">
      <c r="B83" s="316" t="s">
        <v>1514</v>
      </c>
      <c r="C83" s="317">
        <f ca="1">ROUND(C13/C40,3)</f>
        <v>0.35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D24" sqref="D24"/>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3073</v>
      </c>
      <c r="D1" s="1816" t="s">
        <v>3093</v>
      </c>
      <c r="E1" s="1817" t="s">
        <v>1387</v>
      </c>
      <c r="F1" s="1281">
        <f ca="1">J53</f>
        <v>36.119999999999997</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13577</v>
      </c>
      <c r="C2" s="1841" t="s">
        <v>1516</v>
      </c>
      <c r="D2" s="1841"/>
      <c r="E2" s="1842"/>
      <c r="F2" s="1843"/>
      <c r="G2" s="1844"/>
      <c r="H2" s="1836"/>
      <c r="I2" s="1836"/>
      <c r="J2" s="1836"/>
      <c r="K2" s="1837"/>
      <c r="L2" s="1836"/>
      <c r="M2" s="1836"/>
    </row>
    <row r="3" spans="1:37" ht="18" customHeight="1" thickBot="1">
      <c r="A3" s="1845" t="s">
        <v>1517</v>
      </c>
      <c r="B3" s="1846">
        <f ca="1">IF(ISERROR(B2*10000/F43),0,ROUND(B2*10000/F43,0))</f>
        <v>27207</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820</v>
      </c>
      <c r="D5" s="1818" t="s">
        <v>1402</v>
      </c>
      <c r="E5" s="1291"/>
      <c r="F5" s="1292"/>
      <c r="G5" s="1847"/>
      <c r="H5" s="343">
        <v>1</v>
      </c>
      <c r="I5" s="344" t="s">
        <v>1401</v>
      </c>
      <c r="J5" s="1290">
        <f ca="1">J6+J10+J12</f>
        <v>0</v>
      </c>
      <c r="K5" s="1818" t="s">
        <v>1402</v>
      </c>
      <c r="L5" s="1291"/>
      <c r="M5" s="1292"/>
    </row>
    <row r="6" spans="1:37" ht="18" customHeight="1">
      <c r="A6" s="1289" t="s">
        <v>1035</v>
      </c>
      <c r="B6" s="3239" t="s">
        <v>1403</v>
      </c>
      <c r="C6" s="1294">
        <f ca="1">ROUND(F6*F8*F7*(1-F9)/10000,0)</f>
        <v>820</v>
      </c>
      <c r="D6" s="163" t="s">
        <v>3024</v>
      </c>
      <c r="E6" s="346" t="s">
        <v>1405</v>
      </c>
      <c r="F6" s="347">
        <f ca="1">INDIRECT("'数据-取费表'!u"&amp;$G$1)</f>
        <v>5</v>
      </c>
      <c r="G6" s="1847"/>
      <c r="H6" s="1289" t="s">
        <v>1035</v>
      </c>
      <c r="I6" s="3239" t="s">
        <v>1403</v>
      </c>
      <c r="J6" s="345">
        <f ca="1">ROUND(M6*M8*M7*(1-M9)/10000,0)</f>
        <v>0</v>
      </c>
      <c r="K6" s="163" t="s">
        <v>3023</v>
      </c>
      <c r="L6" s="346" t="s">
        <v>1405</v>
      </c>
      <c r="M6" s="347">
        <f ca="1">INDIRECT("'数据-取费表'!z"&amp;$G$1)</f>
        <v>0</v>
      </c>
    </row>
    <row r="7" spans="1:37" ht="18" customHeight="1">
      <c r="A7" s="1293"/>
      <c r="B7" s="3240"/>
      <c r="C7" s="1295"/>
      <c r="D7" s="351"/>
      <c r="E7" s="2935" t="s">
        <v>1406</v>
      </c>
      <c r="F7" s="347">
        <f ca="1">IF(INDIRECT("'数据-取费表'!ah"&amp;$G$1)="",INDIRECT("'数据-取费表'!k"&amp;$G$1),INDIRECT("'数据-取费表'!ah"&amp;$G$1))</f>
        <v>4990.1900000000005</v>
      </c>
      <c r="G7" s="1847"/>
      <c r="H7" s="348"/>
      <c r="I7" s="3240"/>
      <c r="J7" s="350"/>
      <c r="K7" s="351"/>
      <c r="L7" s="346" t="s">
        <v>1406</v>
      </c>
      <c r="M7" s="347">
        <f ca="1">F7</f>
        <v>4990.1900000000005</v>
      </c>
    </row>
    <row r="8" spans="1:37" ht="18" customHeight="1">
      <c r="A8" s="348"/>
      <c r="B8" s="3240"/>
      <c r="C8" s="350"/>
      <c r="D8" s="351"/>
      <c r="E8" s="346" t="s">
        <v>1407</v>
      </c>
      <c r="F8" s="347">
        <f ca="1">INDIRECT("'数据-取费表'!ai"&amp;$G$1)</f>
        <v>365</v>
      </c>
      <c r="G8" s="1847"/>
      <c r="H8" s="348"/>
      <c r="I8" s="3240"/>
      <c r="J8" s="350"/>
      <c r="K8" s="351"/>
      <c r="L8" s="346" t="s">
        <v>1407</v>
      </c>
      <c r="M8" s="347">
        <f ca="1">INDIRECT("'数据-取费表'!ai"&amp;$G$1)</f>
        <v>365</v>
      </c>
    </row>
    <row r="9" spans="1:37" ht="18" customHeight="1">
      <c r="A9" s="348"/>
      <c r="B9" s="3241"/>
      <c r="C9" s="350"/>
      <c r="D9" s="351"/>
      <c r="E9" s="346" t="s">
        <v>1408</v>
      </c>
      <c r="F9" s="356">
        <f ca="1">INDIRECT("'数据-取费表'!w"&amp;$G$1)</f>
        <v>0.1</v>
      </c>
      <c r="G9" s="1847"/>
      <c r="H9" s="348"/>
      <c r="I9" s="3241"/>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2187</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1344</v>
      </c>
      <c r="D14" s="2938" t="s">
        <v>1418</v>
      </c>
      <c r="E14" s="2937"/>
      <c r="F14" s="363"/>
      <c r="G14" s="1847"/>
      <c r="H14" s="1199" t="s">
        <v>1035</v>
      </c>
      <c r="I14" s="346" t="s">
        <v>1419</v>
      </c>
      <c r="J14" s="24">
        <f ca="1">C29</f>
        <v>2187</v>
      </c>
      <c r="K14" s="2934"/>
      <c r="L14" s="977"/>
      <c r="M14" s="978"/>
    </row>
    <row r="15" spans="1:37" s="1854" customFormat="1" ht="18" customHeight="1" thickBot="1">
      <c r="A15" s="1199" t="s">
        <v>1036</v>
      </c>
      <c r="B15" s="346" t="s">
        <v>1420</v>
      </c>
      <c r="C15" s="24">
        <f ca="1">ROUND(C14*F15,0)</f>
        <v>40</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53</v>
      </c>
      <c r="K16" s="1335" t="s">
        <v>1425</v>
      </c>
      <c r="L16" s="2940"/>
      <c r="M16" s="1292"/>
    </row>
    <row r="17" spans="1:37" s="1854" customFormat="1" ht="18" customHeight="1">
      <c r="A17" s="1199" t="s">
        <v>1390</v>
      </c>
      <c r="B17" s="346" t="s">
        <v>1426</v>
      </c>
      <c r="C17" s="24">
        <f ca="1">ROUND(F17*(F43+INDIRECT("'数据-取费表'!S"&amp;$G$1))/10000,0)</f>
        <v>103</v>
      </c>
      <c r="D17" s="346" t="s">
        <v>1427</v>
      </c>
      <c r="E17" s="346" t="s">
        <v>1428</v>
      </c>
      <c r="F17" s="26">
        <f>'数据-取费表'!B35</f>
        <v>200</v>
      </c>
      <c r="G17" s="1850"/>
      <c r="H17" s="1199" t="s">
        <v>1035</v>
      </c>
      <c r="I17" s="346" t="s">
        <v>1429</v>
      </c>
      <c r="J17" s="24">
        <f ca="1">ROUND(IF(项目基本情况!B11="自然人",J5*M17,J18+J19+J20),1)</f>
        <v>20.399999999999999</v>
      </c>
      <c r="K17" s="2938" t="s">
        <v>1430</v>
      </c>
      <c r="L17" s="2939"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20</v>
      </c>
      <c r="D18" s="346" t="s">
        <v>1421</v>
      </c>
      <c r="E18" s="346" t="s">
        <v>1422</v>
      </c>
      <c r="F18" s="366">
        <f>'数据-取费表'!B36</f>
        <v>1.4999999999999999E-2</v>
      </c>
      <c r="G18" s="1850"/>
      <c r="H18" s="1199" t="s">
        <v>1034</v>
      </c>
      <c r="I18" s="346" t="s">
        <v>1433</v>
      </c>
      <c r="J18" s="24">
        <f ca="1">ROUND(J5*M18/(1+'数据-取费表'!C42),2)</f>
        <v>0</v>
      </c>
      <c r="K18" s="2939"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1507</v>
      </c>
      <c r="D19" s="139" t="s">
        <v>1436</v>
      </c>
      <c r="E19" s="2933"/>
      <c r="F19" s="26"/>
      <c r="G19" s="1847"/>
      <c r="H19" s="1199" t="s">
        <v>1036</v>
      </c>
      <c r="I19" s="346" t="s">
        <v>1437</v>
      </c>
      <c r="J19" s="24">
        <f ca="1">IF(K19="按租金收入计税",ROUND(J5*M19,2),ROUND(C29*M19*0.7,2))</f>
        <v>18.37</v>
      </c>
      <c r="K19" s="1824" t="s">
        <v>1438</v>
      </c>
      <c r="L19" s="346" t="s">
        <v>1422</v>
      </c>
      <c r="M19" s="366">
        <f>IF(K19="按租金收入计税",'数据-取费表'!B51,'数据-取费表'!B50)</f>
        <v>1.2E-2</v>
      </c>
    </row>
    <row r="20" spans="1:37" s="1854" customFormat="1" ht="18" customHeight="1">
      <c r="A20" s="1199" t="s">
        <v>1039</v>
      </c>
      <c r="B20" s="346" t="s">
        <v>1439</v>
      </c>
      <c r="C20" s="24">
        <f ca="1">ROUND(C19*F20,0)</f>
        <v>30</v>
      </c>
      <c r="D20" s="368" t="s">
        <v>1440</v>
      </c>
      <c r="E20" s="346" t="s">
        <v>1422</v>
      </c>
      <c r="F20" s="366">
        <f>'数据-取费表'!B37</f>
        <v>0.02</v>
      </c>
      <c r="G20" s="1850"/>
      <c r="H20" s="1199" t="s">
        <v>1389</v>
      </c>
      <c r="I20" s="163" t="s">
        <v>1441</v>
      </c>
      <c r="J20" s="25">
        <f ca="1">ROUND(M20*M21/10000,2)</f>
        <v>2.06</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2</v>
      </c>
      <c r="D21" s="368" t="s">
        <v>1445</v>
      </c>
      <c r="E21" s="346" t="s">
        <v>1446</v>
      </c>
      <c r="F21" s="366">
        <f>'数据-取费表'!B38</f>
        <v>0.02</v>
      </c>
      <c r="G21" s="1850"/>
      <c r="H21" s="371"/>
      <c r="I21" s="355"/>
      <c r="J21" s="29"/>
      <c r="K21" s="372"/>
      <c r="L21" s="346" t="s">
        <v>1447</v>
      </c>
      <c r="M21" s="347">
        <f ca="1">INDIRECT("'数据-取费表'!r"&amp;$G$1)</f>
        <v>1146.58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3"/>
      <c r="F22" s="26"/>
      <c r="G22" s="1847"/>
      <c r="H22" s="1199" t="s">
        <v>1039</v>
      </c>
      <c r="I22" s="346" t="s">
        <v>1449</v>
      </c>
      <c r="J22" s="24">
        <f ca="1">ROUND(J14*M22,1)</f>
        <v>32.799999999999997</v>
      </c>
      <c r="K22" s="2939"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92</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2939" t="s">
        <v>1454</v>
      </c>
      <c r="L23" s="346" t="s">
        <v>1422</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0"/>
      <c r="H24" s="1337" t="s">
        <v>1392</v>
      </c>
      <c r="I24" s="1338" t="s">
        <v>1439</v>
      </c>
      <c r="J24" s="1339">
        <f ca="1">ROUND(J5*M24,1)</f>
        <v>0</v>
      </c>
      <c r="K24" s="1340" t="s">
        <v>1459</v>
      </c>
      <c r="L24" s="1338" t="s">
        <v>1422</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2933"/>
      <c r="F25" s="26"/>
      <c r="G25" s="1847"/>
      <c r="H25" s="1327" t="s">
        <v>1031</v>
      </c>
      <c r="I25" s="1342" t="s">
        <v>1463</v>
      </c>
      <c r="J25" s="354">
        <f ca="1">J5-J16</f>
        <v>-53</v>
      </c>
      <c r="K25" s="1343" t="s">
        <v>1464</v>
      </c>
      <c r="L25" s="1344"/>
      <c r="M25" s="1345"/>
    </row>
    <row r="26" spans="1:37">
      <c r="A26" s="1199" t="s">
        <v>1034</v>
      </c>
      <c r="B26" s="346" t="s">
        <v>1465</v>
      </c>
      <c r="C26" s="24">
        <f ca="1">ROUND((C19+C20)*F26,0)</f>
        <v>384</v>
      </c>
      <c r="D26" s="368" t="s">
        <v>1466</v>
      </c>
      <c r="E26" s="357" t="s">
        <v>1467</v>
      </c>
      <c r="F26" s="356">
        <f ca="1">INDIRECT("'数据-取费表'!q"&amp;$G$1)</f>
        <v>0.25</v>
      </c>
      <c r="G26" s="1847"/>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5.0000000000000001E-3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2187</v>
      </c>
      <c r="D29" s="1340"/>
      <c r="E29" s="1338"/>
      <c r="F29" s="1341"/>
      <c r="G29" s="1850"/>
      <c r="H29" s="379" t="s">
        <v>1033</v>
      </c>
      <c r="I29" s="380" t="s">
        <v>1479</v>
      </c>
      <c r="J29" s="381">
        <f ca="1">ROUND(J26/(1+F40)^F41,0)</f>
        <v>0</v>
      </c>
      <c r="K29" s="382" t="s">
        <v>1480</v>
      </c>
      <c r="L29" s="383"/>
      <c r="M29" s="384">
        <f ca="1">INDIRECT("'数据-取费表'!k"&amp;$G$1)</f>
        <v>4990.1900000000005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189</v>
      </c>
      <c r="D30" s="1335" t="s">
        <v>1425</v>
      </c>
      <c r="E30" s="2940"/>
      <c r="F30" s="1292"/>
      <c r="G30" s="1847"/>
      <c r="H30" s="744"/>
      <c r="I30" s="745"/>
      <c r="J30" s="746"/>
      <c r="K30" s="747"/>
      <c r="L30" s="748"/>
      <c r="M30" s="749"/>
    </row>
    <row r="31" spans="1:37" ht="18" customHeight="1">
      <c r="A31" s="1199" t="s">
        <v>1035</v>
      </c>
      <c r="B31" s="346" t="s">
        <v>1429</v>
      </c>
      <c r="C31" s="24">
        <f ca="1">ROUND(IF(项目基本情况!B11="自然人",C5*F31,C32+C33+C34),1)</f>
        <v>144.19999999999999</v>
      </c>
      <c r="D31" s="2938" t="s">
        <v>1430</v>
      </c>
      <c r="E31" s="2939"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43.73</v>
      </c>
      <c r="D32" s="2939"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98.4</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2.06</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1146.58</v>
      </c>
      <c r="G35" s="1847"/>
      <c r="H35" s="744"/>
      <c r="I35" s="1856"/>
      <c r="J35" s="1857"/>
      <c r="K35" s="1858"/>
      <c r="L35" s="1855"/>
      <c r="M35" s="1855"/>
    </row>
    <row r="36" spans="1:18" ht="18" customHeight="1">
      <c r="A36" s="1350" t="s">
        <v>1039</v>
      </c>
      <c r="B36" s="346" t="s">
        <v>1449</v>
      </c>
      <c r="C36" s="24">
        <f ca="1">ROUND(C29*F36,1)</f>
        <v>32.799999999999997</v>
      </c>
      <c r="D36" s="2939"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3.3</v>
      </c>
      <c r="D37" s="2939" t="s">
        <v>1454</v>
      </c>
      <c r="E37" s="346" t="s">
        <v>1422</v>
      </c>
      <c r="F37" s="375">
        <f ca="1">INDIRECT("'数据-取费表'!Al"&amp;$G$1)</f>
        <v>1.5E-3</v>
      </c>
      <c r="G37" s="1847"/>
      <c r="H37" s="1855"/>
      <c r="I37" s="1856"/>
      <c r="J37" s="1857"/>
      <c r="K37" s="750"/>
      <c r="L37" s="1855"/>
      <c r="M37" s="1855"/>
    </row>
    <row r="38" spans="1:18" ht="18" customHeight="1" thickBot="1">
      <c r="A38" s="1337" t="s">
        <v>1392</v>
      </c>
      <c r="B38" s="1338" t="s">
        <v>1439</v>
      </c>
      <c r="C38" s="1339">
        <f ca="1">ROUND(C5*F38,1)</f>
        <v>8.1999999999999993</v>
      </c>
      <c r="D38" s="1340" t="s">
        <v>1459</v>
      </c>
      <c r="E38" s="1338" t="s">
        <v>1422</v>
      </c>
      <c r="F38" s="1334">
        <f ca="1">INDIRECT("'数据-取费表'!Am"&amp;$G$1)</f>
        <v>0.01</v>
      </c>
      <c r="G38" s="1847"/>
      <c r="H38" s="1855"/>
      <c r="I38" s="1856"/>
      <c r="J38" s="1857"/>
      <c r="K38" s="1861"/>
      <c r="L38" s="1855"/>
      <c r="M38" s="1855"/>
    </row>
    <row r="39" spans="1:18" ht="24.6" customHeight="1" thickTop="1">
      <c r="A39" s="1327" t="s">
        <v>1031</v>
      </c>
      <c r="B39" s="1342" t="s">
        <v>1463</v>
      </c>
      <c r="C39" s="354">
        <f ca="1">C5-C30</f>
        <v>631</v>
      </c>
      <c r="D39" s="1343" t="s">
        <v>1464</v>
      </c>
      <c r="E39" s="1344"/>
      <c r="F39" s="1345"/>
      <c r="G39" s="1847"/>
      <c r="H39" s="1855"/>
      <c r="I39" s="1856"/>
      <c r="J39" s="1857"/>
      <c r="K39" s="1861"/>
      <c r="L39" s="1855"/>
      <c r="M39" s="1855"/>
    </row>
    <row r="40" spans="1:18" ht="18" customHeight="1">
      <c r="A40" s="343" t="s">
        <v>1032</v>
      </c>
      <c r="B40" s="344" t="s">
        <v>1485</v>
      </c>
      <c r="C40" s="345">
        <f ca="1">ROUND(C39*(1-((1+F42)/(1+F40))^F41)/(F40-F42),0)</f>
        <v>13577</v>
      </c>
      <c r="D40" s="369" t="s">
        <v>1469</v>
      </c>
      <c r="E40" s="346" t="s">
        <v>1470</v>
      </c>
      <c r="F40" s="356">
        <f ca="1">INDIRECT("'数据-取费表'!I"&amp;$G$1)</f>
        <v>0.06</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36.119999999999997</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27207</v>
      </c>
      <c r="D43" s="382" t="s">
        <v>1488</v>
      </c>
      <c r="E43" s="383" t="s">
        <v>1489</v>
      </c>
      <c r="F43" s="384">
        <f ca="1">INDIRECT("'数据-取费表'!k"&amp;$G$1)</f>
        <v>4990.1900000000005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-16826</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40</v>
      </c>
      <c r="M47" s="1834" t="str">
        <f>IF(ISNUMBER(FIND("住宅",C1)),"住宅","非住宅")</f>
        <v>非住宅</v>
      </c>
      <c r="O47" s="1880" t="s">
        <v>1040</v>
      </c>
      <c r="P47" s="1881" t="s">
        <v>1528</v>
      </c>
      <c r="Q47" s="1882">
        <f ca="1">C40+J29</f>
        <v>13577</v>
      </c>
      <c r="R47" s="1882" t="s">
        <v>1529</v>
      </c>
    </row>
    <row r="48" spans="1:18" s="1838" customFormat="1" ht="28.5" thickBot="1">
      <c r="A48" s="1358" t="s">
        <v>1135</v>
      </c>
      <c r="B48" s="344" t="s">
        <v>1401</v>
      </c>
      <c r="C48" s="2932">
        <f ca="1">C49+C53+C55</f>
        <v>0</v>
      </c>
      <c r="D48" s="1360"/>
      <c r="E48" s="1361"/>
      <c r="F48" s="1179"/>
      <c r="G48" s="791"/>
      <c r="H48" s="792"/>
      <c r="I48" s="1883" t="s">
        <v>1530</v>
      </c>
      <c r="J48" s="1884" t="s">
        <v>3096</v>
      </c>
      <c r="K48" s="1885" t="s">
        <v>1531</v>
      </c>
      <c r="L48" s="1886">
        <f ca="1">INDIRECT("'数据-取费表'!f"&amp;$G$1)</f>
        <v>37.82</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2187</v>
      </c>
      <c r="R49" s="1882" t="s">
        <v>1529</v>
      </c>
    </row>
    <row r="50" spans="1:18" s="1838" customFormat="1" ht="13.5" thickBot="1">
      <c r="A50" s="1193"/>
      <c r="B50" s="1196"/>
      <c r="C50" s="1366"/>
      <c r="D50" s="1170"/>
      <c r="E50" s="1275" t="s">
        <v>1406</v>
      </c>
      <c r="F50" s="1276">
        <f ca="1">F7</f>
        <v>4990.1900000000005</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7496</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36.119999999999997</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36.119999999999997</v>
      </c>
      <c r="K53" s="3237" t="s">
        <v>1548</v>
      </c>
      <c r="L53" s="3238"/>
      <c r="O53" s="1880" t="s">
        <v>1046</v>
      </c>
      <c r="P53" s="1881" t="s">
        <v>1549</v>
      </c>
      <c r="Q53" s="1882">
        <f ca="1">Q47+Q48</f>
        <v>13577</v>
      </c>
      <c r="R53" s="1882" t="s">
        <v>1047</v>
      </c>
    </row>
    <row r="54" spans="1:18" s="1838" customFormat="1" ht="13.5" thickBot="1">
      <c r="A54" s="1403"/>
      <c r="B54" s="1821" t="s">
        <v>1388</v>
      </c>
      <c r="C54" s="1176"/>
      <c r="D54" s="1820"/>
      <c r="E54" s="293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2936"/>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2187</v>
      </c>
      <c r="D56" s="1910"/>
      <c r="E56" s="1911"/>
      <c r="F56" s="1903"/>
      <c r="I56" s="1912" t="s">
        <v>1554</v>
      </c>
      <c r="J56" s="1913" t="s">
        <v>3053</v>
      </c>
      <c r="K56" s="1883" t="s">
        <v>1555</v>
      </c>
      <c r="L56" s="1886" t="str">
        <f ca="1">IF(L48&lt;J51,"——",L48-J53)</f>
        <v>——</v>
      </c>
      <c r="O56" s="1880" t="s">
        <v>1040</v>
      </c>
      <c r="P56" s="1881" t="s">
        <v>1528</v>
      </c>
      <c r="Q56" s="1882">
        <f ca="1">C40+J29</f>
        <v>13577</v>
      </c>
      <c r="R56" s="1882" t="s">
        <v>1529</v>
      </c>
    </row>
    <row r="57" spans="1:18" s="1838" customFormat="1" ht="24.75" thickBot="1">
      <c r="A57" s="1914"/>
      <c r="B57" s="1167" t="s">
        <v>1478</v>
      </c>
      <c r="C57" s="281">
        <f ca="1">C29</f>
        <v>2187</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222</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185.8</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1437</v>
      </c>
      <c r="C61" s="24">
        <f ca="1">IF(项目基本情况!B11="自然人","——",IF(D61="按租金收入计税",ROUND(C48*F61,2),IF(D61="按房产原值计税",ROUND(C57*F61*0.7,2),INDIRECT("'数据-取费表'!Aj"&amp;$G$1))))</f>
        <v>183.71</v>
      </c>
      <c r="D61" s="1824" t="s">
        <v>1438</v>
      </c>
      <c r="E61" s="1167" t="s">
        <v>1422</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1441</v>
      </c>
      <c r="C62" s="25">
        <f ca="1">IF(项目基本情况!B11="自然人","——",ROUND(F62*F63/10000,2))</f>
        <v>2.06</v>
      </c>
      <c r="D62" s="1182" t="s">
        <v>1442</v>
      </c>
      <c r="E62" s="1167" t="s">
        <v>1443</v>
      </c>
      <c r="F62" s="370">
        <f t="shared" si="0"/>
        <v>18</v>
      </c>
      <c r="I62" s="1925" t="s">
        <v>1570</v>
      </c>
      <c r="J62" s="1926" t="s">
        <v>1571</v>
      </c>
      <c r="K62" s="1926" t="s">
        <v>1572</v>
      </c>
      <c r="L62" s="1926" t="s">
        <v>1573</v>
      </c>
      <c r="M62" s="1927" t="s">
        <v>1574</v>
      </c>
      <c r="O62" s="1880" t="s">
        <v>1046</v>
      </c>
      <c r="P62" s="1881" t="s">
        <v>1549</v>
      </c>
      <c r="Q62" s="1882">
        <f ca="1">Q56+Q57</f>
        <v>13577</v>
      </c>
      <c r="R62" s="1882" t="s">
        <v>1047</v>
      </c>
    </row>
    <row r="63" spans="1:18" s="1838" customFormat="1" ht="13.5" thickBot="1">
      <c r="A63" s="371"/>
      <c r="B63" s="1173"/>
      <c r="C63" s="29"/>
      <c r="D63" s="1183"/>
      <c r="E63" s="1167" t="s">
        <v>1447</v>
      </c>
      <c r="F63" s="347">
        <f t="shared" ca="1" si="0"/>
        <v>1146.58</v>
      </c>
      <c r="I63" s="1925" t="s">
        <v>1576</v>
      </c>
      <c r="J63" s="1926">
        <v>70</v>
      </c>
      <c r="K63" s="1926">
        <v>50</v>
      </c>
      <c r="L63" s="1926">
        <v>80</v>
      </c>
      <c r="M63" s="1928">
        <v>0.02</v>
      </c>
      <c r="O63" s="1865" t="s">
        <v>1577</v>
      </c>
      <c r="P63" s="1835"/>
      <c r="Q63" s="1835"/>
      <c r="R63" s="1835"/>
    </row>
    <row r="64" spans="1:18" s="1838" customFormat="1" ht="13.5" thickBot="1">
      <c r="A64" s="1199" t="s">
        <v>1039</v>
      </c>
      <c r="B64" s="1167" t="s">
        <v>1449</v>
      </c>
      <c r="C64" s="24">
        <f ca="1">ROUND(C57*F64,1)</f>
        <v>32.799999999999997</v>
      </c>
      <c r="D64" s="1181" t="s">
        <v>1482</v>
      </c>
      <c r="E64" s="1167" t="s">
        <v>1422</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3.3</v>
      </c>
      <c r="D65" s="1181" t="s">
        <v>1454</v>
      </c>
      <c r="E65" s="1167" t="s">
        <v>1422</v>
      </c>
      <c r="F65" s="375">
        <f t="shared" ca="1" si="0"/>
        <v>1.5E-3</v>
      </c>
      <c r="I65" s="1925" t="s">
        <v>1579</v>
      </c>
      <c r="J65" s="1926">
        <v>40</v>
      </c>
      <c r="K65" s="1926">
        <v>30</v>
      </c>
      <c r="L65" s="1926">
        <v>50</v>
      </c>
      <c r="M65" s="1928">
        <v>0.02</v>
      </c>
      <c r="O65" s="1880" t="s">
        <v>1040</v>
      </c>
      <c r="P65" s="1881" t="s">
        <v>1528</v>
      </c>
      <c r="Q65" s="1882">
        <f ca="1">C40+J29</f>
        <v>13577</v>
      </c>
      <c r="R65" s="1882" t="s">
        <v>1529</v>
      </c>
    </row>
    <row r="66" spans="1:18" s="1838" customFormat="1" ht="16.5" thickBot="1">
      <c r="A66" s="1199" t="s">
        <v>1504</v>
      </c>
      <c r="B66" s="1167" t="s">
        <v>1439</v>
      </c>
      <c r="C66" s="24">
        <f ca="1">ROUND(C48*F66,1)</f>
        <v>0</v>
      </c>
      <c r="D66" s="1181" t="s">
        <v>1459</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-222</v>
      </c>
      <c r="D67" s="1180" t="s">
        <v>1464</v>
      </c>
      <c r="E67" s="1185"/>
      <c r="F67" s="1186"/>
      <c r="O67" s="1890" t="s">
        <v>1042</v>
      </c>
      <c r="P67" s="1881" t="s">
        <v>1562</v>
      </c>
      <c r="Q67" s="1929">
        <f ca="1">L51</f>
        <v>7496</v>
      </c>
      <c r="R67" s="1882" t="s">
        <v>1582</v>
      </c>
    </row>
    <row r="68" spans="1:18" s="1838" customFormat="1" ht="16.5" thickBot="1">
      <c r="A68" s="1164" t="s">
        <v>1032</v>
      </c>
      <c r="B68" s="1165" t="s">
        <v>1485</v>
      </c>
      <c r="C68" s="345">
        <f ca="1">ROUND(C67*(1-((1+F70)/(1+F68))^F69)/(F68-F70),0)</f>
        <v>-3249</v>
      </c>
      <c r="D68" s="1182" t="s">
        <v>1469</v>
      </c>
      <c r="E68" s="1167" t="s">
        <v>1470</v>
      </c>
      <c r="F68" s="356">
        <f ca="1">F40</f>
        <v>0.06</v>
      </c>
      <c r="O68" s="1890" t="s">
        <v>1043</v>
      </c>
      <c r="P68" s="1930" t="s">
        <v>1583</v>
      </c>
      <c r="Q68" s="1882">
        <f ca="1">ROUND(Q69-Q70*Q71,0)</f>
        <v>445</v>
      </c>
      <c r="R68" s="1882" t="s">
        <v>1051</v>
      </c>
    </row>
    <row r="69" spans="1:18" s="1838" customFormat="1" ht="13.5" thickBot="1">
      <c r="A69" s="1168"/>
      <c r="B69" s="1169"/>
      <c r="C69" s="350"/>
      <c r="D69" s="1187" t="s">
        <v>1473</v>
      </c>
      <c r="E69" s="1167" t="s">
        <v>1474</v>
      </c>
      <c r="F69" s="378">
        <f ca="1">F41</f>
        <v>36.119999999999997</v>
      </c>
      <c r="O69" s="1890" t="s">
        <v>1048</v>
      </c>
      <c r="P69" s="1930" t="s">
        <v>1584</v>
      </c>
      <c r="Q69" s="1882">
        <f ca="1">C39</f>
        <v>631</v>
      </c>
      <c r="R69" s="1882" t="s">
        <v>1529</v>
      </c>
    </row>
    <row r="70" spans="1:18" s="1838" customFormat="1" ht="13.5" thickBot="1">
      <c r="A70" s="1171"/>
      <c r="B70" s="1172"/>
      <c r="C70" s="354"/>
      <c r="D70" s="1183"/>
      <c r="E70" s="1167" t="s">
        <v>1477</v>
      </c>
      <c r="F70" s="1273"/>
      <c r="O70" s="1890" t="s">
        <v>1049</v>
      </c>
      <c r="P70" s="1930" t="s">
        <v>1585</v>
      </c>
      <c r="Q70" s="1882">
        <f ca="1">C13</f>
        <v>2187</v>
      </c>
      <c r="R70" s="1882" t="s">
        <v>1529</v>
      </c>
    </row>
    <row r="71" spans="1:18" s="1838" customFormat="1" ht="13.5" thickBot="1">
      <c r="A71" s="1188" t="s">
        <v>1033</v>
      </c>
      <c r="B71" s="1189" t="s">
        <v>1487</v>
      </c>
      <c r="C71" s="381">
        <f ca="1">ROUND(C68*10000/F71,0)</f>
        <v>-6511</v>
      </c>
      <c r="D71" s="1190" t="s">
        <v>1488</v>
      </c>
      <c r="E71" s="1191" t="s">
        <v>1489</v>
      </c>
      <c r="F71" s="384">
        <f ca="1">F43</f>
        <v>4990.1900000000005</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186</v>
      </c>
      <c r="D75" s="1838"/>
      <c r="E75" s="1838"/>
      <c r="F75" s="1838"/>
      <c r="K75" s="1864"/>
      <c r="L75" s="1838"/>
      <c r="O75" s="1880" t="s">
        <v>1046</v>
      </c>
      <c r="P75" s="1881" t="s">
        <v>1549</v>
      </c>
      <c r="Q75" s="1882">
        <f ca="1">Q65+Q66</f>
        <v>13577</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0.70500000000000007</v>
      </c>
    </row>
    <row r="80" spans="1:18">
      <c r="B80" s="385" t="s">
        <v>1511</v>
      </c>
      <c r="C80" s="317">
        <f ca="1">ROUND(C75/C39,3)</f>
        <v>0.29499999999999998</v>
      </c>
    </row>
    <row r="81" spans="2:3">
      <c r="B81" s="313" t="s">
        <v>1512</v>
      </c>
      <c r="C81" s="281"/>
    </row>
    <row r="82" spans="2:3">
      <c r="B82" s="316" t="s">
        <v>1513</v>
      </c>
      <c r="C82" s="318">
        <f ca="1">1-C83</f>
        <v>0.83899999999999997</v>
      </c>
    </row>
    <row r="83" spans="2:3">
      <c r="B83" s="316" t="s">
        <v>1514</v>
      </c>
      <c r="C83" s="317">
        <f ca="1">ROUND(C13/C40,3)</f>
        <v>0.161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K26" sqref="K26"/>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5.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t="s">
        <v>48</v>
      </c>
      <c r="D1" s="1816" t="s">
        <v>3093</v>
      </c>
      <c r="E1" s="1817" t="s">
        <v>1387</v>
      </c>
      <c r="F1" s="1281">
        <f ca="1">J53</f>
        <v>46.12</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10171</v>
      </c>
      <c r="C2" s="1841" t="s">
        <v>1516</v>
      </c>
      <c r="D2" s="1841"/>
      <c r="E2" s="1842"/>
      <c r="F2" s="1843"/>
      <c r="G2" s="1844"/>
      <c r="H2" s="1836"/>
      <c r="I2" s="1836"/>
      <c r="J2" s="1836"/>
      <c r="K2" s="1837"/>
      <c r="L2" s="1836"/>
      <c r="M2" s="1836"/>
    </row>
    <row r="3" spans="1:37" ht="18" customHeight="1" thickBot="1">
      <c r="A3" s="1845" t="s">
        <v>1517</v>
      </c>
      <c r="B3" s="1846">
        <f ca="1">IF(ISERROR(B2*10000/F43),0,ROUND(B2*10000/F43,0))</f>
        <v>4031</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90">
        <f ca="1">C6+C10+C12</f>
        <v>663</v>
      </c>
      <c r="D5" s="1818" t="s">
        <v>1402</v>
      </c>
      <c r="E5" s="1291"/>
      <c r="F5" s="1292"/>
      <c r="G5" s="1847"/>
      <c r="H5" s="343">
        <v>1</v>
      </c>
      <c r="I5" s="344" t="s">
        <v>1401</v>
      </c>
      <c r="J5" s="1290">
        <f ca="1">J6+J10+J12</f>
        <v>0</v>
      </c>
      <c r="K5" s="1818" t="s">
        <v>1402</v>
      </c>
      <c r="L5" s="1291"/>
      <c r="M5" s="1292"/>
    </row>
    <row r="6" spans="1:37" ht="18" customHeight="1">
      <c r="A6" s="1289" t="s">
        <v>1035</v>
      </c>
      <c r="B6" s="3239" t="s">
        <v>1403</v>
      </c>
      <c r="C6" s="1294">
        <f ca="1">ROUND(F6*F8*F7*(1-F9)/10000,0)</f>
        <v>663</v>
      </c>
      <c r="D6" s="163" t="s">
        <v>3024</v>
      </c>
      <c r="E6" s="346" t="s">
        <v>1405</v>
      </c>
      <c r="F6" s="347">
        <f ca="1">INDIRECT("'数据-取费表'!u"&amp;$G$1)</f>
        <v>0.8</v>
      </c>
      <c r="G6" s="1847"/>
      <c r="H6" s="1289" t="s">
        <v>1035</v>
      </c>
      <c r="I6" s="3239" t="s">
        <v>1403</v>
      </c>
      <c r="J6" s="345">
        <f ca="1">ROUND(M6*M8*M7*(1-M9)/10000,0)</f>
        <v>0</v>
      </c>
      <c r="K6" s="163" t="s">
        <v>3023</v>
      </c>
      <c r="L6" s="346" t="s">
        <v>1405</v>
      </c>
      <c r="M6" s="347">
        <f ca="1">INDIRECT("'数据-取费表'!z"&amp;$G$1)</f>
        <v>0</v>
      </c>
    </row>
    <row r="7" spans="1:37" ht="18" customHeight="1">
      <c r="A7" s="1293"/>
      <c r="B7" s="3240"/>
      <c r="C7" s="1295"/>
      <c r="D7" s="351"/>
      <c r="E7" s="2935" t="s">
        <v>1406</v>
      </c>
      <c r="F7" s="347">
        <f ca="1">IF(INDIRECT("'数据-取费表'!ah"&amp;$G$1)="",INDIRECT("'数据-取费表'!k"&amp;$G$1),INDIRECT("'数据-取费表'!ah"&amp;$G$1))</f>
        <v>25234.94</v>
      </c>
      <c r="G7" s="1847"/>
      <c r="H7" s="348"/>
      <c r="I7" s="3240"/>
      <c r="J7" s="350"/>
      <c r="K7" s="351"/>
      <c r="L7" s="346" t="s">
        <v>1406</v>
      </c>
      <c r="M7" s="347">
        <f ca="1">F7</f>
        <v>25234.94</v>
      </c>
    </row>
    <row r="8" spans="1:37" ht="18" customHeight="1">
      <c r="A8" s="348"/>
      <c r="B8" s="3240"/>
      <c r="C8" s="350"/>
      <c r="D8" s="351"/>
      <c r="E8" s="346" t="s">
        <v>1407</v>
      </c>
      <c r="F8" s="347">
        <f ca="1">INDIRECT("'数据-取费表'!ai"&amp;$G$1)</f>
        <v>365</v>
      </c>
      <c r="G8" s="1847"/>
      <c r="H8" s="348"/>
      <c r="I8" s="3240"/>
      <c r="J8" s="350"/>
      <c r="K8" s="351"/>
      <c r="L8" s="346" t="s">
        <v>1407</v>
      </c>
      <c r="M8" s="347">
        <f ca="1">INDIRECT("'数据-取费表'!ai"&amp;$G$1)</f>
        <v>365</v>
      </c>
    </row>
    <row r="9" spans="1:37" ht="18" customHeight="1">
      <c r="A9" s="348"/>
      <c r="B9" s="3241"/>
      <c r="C9" s="350"/>
      <c r="D9" s="351"/>
      <c r="E9" s="346" t="s">
        <v>1408</v>
      </c>
      <c r="F9" s="356">
        <f ca="1">INDIRECT("'数据-取费表'!w"&amp;$G$1)</f>
        <v>0.1</v>
      </c>
      <c r="G9" s="1847"/>
      <c r="H9" s="348"/>
      <c r="I9" s="3241"/>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3033</v>
      </c>
      <c r="E10" s="357" t="s">
        <v>1410</v>
      </c>
      <c r="F10" s="1364"/>
      <c r="G10" s="1847"/>
      <c r="H10" s="1289" t="s">
        <v>1039</v>
      </c>
      <c r="I10" s="1819" t="s">
        <v>1409</v>
      </c>
      <c r="J10" s="345">
        <f ca="1">ROUND(IF(M10="押一",J6/12*M11,IF(M10="押二",J6/12*2*M11,IF(M10="押三",J6/12*3*M11,J11*M11))),0)</f>
        <v>0</v>
      </c>
      <c r="K10" s="1820" t="s">
        <v>3032</v>
      </c>
      <c r="L10" s="357" t="s">
        <v>1410</v>
      </c>
      <c r="M10" s="1364" t="s">
        <v>1411</v>
      </c>
    </row>
    <row r="11" spans="1:37" ht="18" customHeight="1">
      <c r="A11" s="352"/>
      <c r="B11" s="1821" t="s">
        <v>1388</v>
      </c>
      <c r="C11" s="1176"/>
      <c r="D11" s="1822"/>
      <c r="E11" s="357" t="s">
        <v>1412</v>
      </c>
      <c r="F11" s="358">
        <f ca="1">'数据-取费表'!B39</f>
        <v>1.4999999999999999E-2</v>
      </c>
      <c r="G11" s="1847"/>
      <c r="H11" s="1297"/>
      <c r="I11" s="1821" t="s">
        <v>1388</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9169</v>
      </c>
      <c r="D13" s="1329" t="s">
        <v>1415</v>
      </c>
      <c r="E13" s="1329" t="s">
        <v>1416</v>
      </c>
      <c r="F13" s="1330">
        <f ca="1">INDIRECT("'数据-取费表'!y"&amp;$G$1)</f>
        <v>1</v>
      </c>
      <c r="G13" s="1847"/>
      <c r="H13" s="1327">
        <v>2</v>
      </c>
      <c r="I13" s="1328" t="s">
        <v>1414</v>
      </c>
      <c r="J13" s="1288">
        <f ca="1">ROUND(J14*J15,0)</f>
        <v>0</v>
      </c>
      <c r="K13" s="1335" t="s">
        <v>1415</v>
      </c>
      <c r="L13" s="1848"/>
      <c r="M13" s="1849"/>
    </row>
    <row r="14" spans="1:37" ht="18" customHeight="1">
      <c r="A14" s="1199" t="s">
        <v>1034</v>
      </c>
      <c r="B14" s="346" t="s">
        <v>1417</v>
      </c>
      <c r="C14" s="362">
        <f ca="1">INDIRECT("'数据-取费表'!m"&amp;$G$1)+INDIRECT("'数据-取费表'!t"&amp;$G$1)</f>
        <v>6800</v>
      </c>
      <c r="D14" s="2938" t="s">
        <v>1418</v>
      </c>
      <c r="E14" s="2937"/>
      <c r="F14" s="363"/>
      <c r="G14" s="1847"/>
      <c r="H14" s="1199" t="s">
        <v>1035</v>
      </c>
      <c r="I14" s="346" t="s">
        <v>1419</v>
      </c>
      <c r="J14" s="24">
        <f ca="1">C29</f>
        <v>9169</v>
      </c>
      <c r="K14" s="2934"/>
      <c r="L14" s="977"/>
      <c r="M14" s="978"/>
    </row>
    <row r="15" spans="1:37" s="1854" customFormat="1" ht="18" customHeight="1" thickBot="1">
      <c r="A15" s="1199" t="s">
        <v>1036</v>
      </c>
      <c r="B15" s="346" t="s">
        <v>1420</v>
      </c>
      <c r="C15" s="24">
        <f ca="1">ROUND(C14*F15,0)</f>
        <v>204</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7"/>
      <c r="H16" s="1327" t="s">
        <v>1030</v>
      </c>
      <c r="I16" s="1328" t="s">
        <v>1424</v>
      </c>
      <c r="J16" s="354">
        <f ca="1">ROUND(J17+J22+J23+J24,0)</f>
        <v>225</v>
      </c>
      <c r="K16" s="1335" t="s">
        <v>1425</v>
      </c>
      <c r="L16" s="2940"/>
      <c r="M16" s="1292"/>
    </row>
    <row r="17" spans="1:37" s="1854" customFormat="1" ht="18" customHeight="1">
      <c r="A17" s="1199" t="s">
        <v>1390</v>
      </c>
      <c r="B17" s="346" t="s">
        <v>1426</v>
      </c>
      <c r="C17" s="24">
        <f ca="1">ROUND(F17*(F43+INDIRECT("'数据-取费表'!S"&amp;$G$1))/10000,0)</f>
        <v>523</v>
      </c>
      <c r="D17" s="346" t="s">
        <v>1427</v>
      </c>
      <c r="E17" s="346" t="s">
        <v>1428</v>
      </c>
      <c r="F17" s="26">
        <f>'数据-取费表'!B35</f>
        <v>200</v>
      </c>
      <c r="G17" s="1850"/>
      <c r="H17" s="1199" t="s">
        <v>1035</v>
      </c>
      <c r="I17" s="346" t="s">
        <v>1429</v>
      </c>
      <c r="J17" s="24">
        <f ca="1">ROUND(IF(项目基本情况!B11="自然人",J5*M17,J18+J19+J20),1)</f>
        <v>87.5</v>
      </c>
      <c r="K17" s="2938" t="s">
        <v>1430</v>
      </c>
      <c r="L17" s="2939"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102</v>
      </c>
      <c r="D18" s="346" t="s">
        <v>1421</v>
      </c>
      <c r="E18" s="346" t="s">
        <v>1422</v>
      </c>
      <c r="F18" s="366">
        <f>'数据-取费表'!B36</f>
        <v>1.4999999999999999E-2</v>
      </c>
      <c r="G18" s="1850"/>
      <c r="H18" s="1199" t="s">
        <v>1034</v>
      </c>
      <c r="I18" s="346" t="s">
        <v>1433</v>
      </c>
      <c r="J18" s="24">
        <f ca="1">ROUND(J5*M18/(1+'数据-取费表'!C42),2)</f>
        <v>0</v>
      </c>
      <c r="K18" s="2939"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7629</v>
      </c>
      <c r="D19" s="139" t="s">
        <v>1436</v>
      </c>
      <c r="E19" s="2933"/>
      <c r="F19" s="26"/>
      <c r="G19" s="1847"/>
      <c r="H19" s="1199" t="s">
        <v>1036</v>
      </c>
      <c r="I19" s="346" t="s">
        <v>1437</v>
      </c>
      <c r="J19" s="24">
        <f ca="1">IF(K19="按租金收入计税",ROUND(J5*M19,2),ROUND(C29*M19*0.7,2))</f>
        <v>77.02</v>
      </c>
      <c r="K19" s="1824" t="s">
        <v>1438</v>
      </c>
      <c r="L19" s="346" t="s">
        <v>1422</v>
      </c>
      <c r="M19" s="366">
        <f>IF(K19="按租金收入计税",'数据-取费表'!B51,'数据-取费表'!B50)</f>
        <v>1.2E-2</v>
      </c>
    </row>
    <row r="20" spans="1:37" s="1854" customFormat="1" ht="18" customHeight="1">
      <c r="A20" s="1199" t="s">
        <v>1039</v>
      </c>
      <c r="B20" s="346" t="s">
        <v>1439</v>
      </c>
      <c r="C20" s="24">
        <f ca="1">ROUND(C19*F20,0)</f>
        <v>153</v>
      </c>
      <c r="D20" s="368" t="s">
        <v>1440</v>
      </c>
      <c r="E20" s="346" t="s">
        <v>1422</v>
      </c>
      <c r="F20" s="366">
        <f>'数据-取费表'!B37</f>
        <v>0.02</v>
      </c>
      <c r="G20" s="1850"/>
      <c r="H20" s="1199" t="s">
        <v>1389</v>
      </c>
      <c r="I20" s="163" t="s">
        <v>1441</v>
      </c>
      <c r="J20" s="25">
        <f ca="1">ROUND(M20*M21/10000,2)</f>
        <v>10.44</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2</v>
      </c>
      <c r="D21" s="368" t="s">
        <v>1445</v>
      </c>
      <c r="E21" s="346" t="s">
        <v>1446</v>
      </c>
      <c r="F21" s="366">
        <f>'数据-取费表'!B38</f>
        <v>0.02</v>
      </c>
      <c r="G21" s="1850"/>
      <c r="H21" s="371"/>
      <c r="I21" s="355"/>
      <c r="J21" s="29"/>
      <c r="K21" s="372"/>
      <c r="L21" s="346" t="s">
        <v>1447</v>
      </c>
      <c r="M21" s="347">
        <f ca="1">INDIRECT("'数据-取费表'!r"&amp;$G$1)</f>
        <v>5798.13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3"/>
      <c r="F22" s="26"/>
      <c r="G22" s="1847"/>
      <c r="H22" s="1199" t="s">
        <v>1039</v>
      </c>
      <c r="I22" s="346" t="s">
        <v>1449</v>
      </c>
      <c r="J22" s="24">
        <f ca="1">ROUND(J14*M22,1)</f>
        <v>137.5</v>
      </c>
      <c r="K22" s="2939" t="s">
        <v>1450</v>
      </c>
      <c r="L22" s="346" t="s">
        <v>1422</v>
      </c>
      <c r="M22" s="373">
        <f ca="1">INDIRECT("'数据-取费表'!Ak"&amp;$G$1)</f>
        <v>1.4999999999999999E-2</v>
      </c>
    </row>
    <row r="23" spans="1:37" s="1854" customFormat="1" ht="18" customHeight="1">
      <c r="A23" s="1199" t="s">
        <v>1034</v>
      </c>
      <c r="B23" s="346" t="s">
        <v>1451</v>
      </c>
      <c r="C23" s="24">
        <f ca="1">IF('数据-取费表'!B22&lt;=1,ROUND(C19*F24*F23/2,0)+ROUND(C20*F24*F23/2,0),ROUND(C19*(POWER((1+F24),F23/2)-1),0)+ROUND(C20*(POWER((1+F24),F23/2)-1),0))</f>
        <v>465</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ROUND(J13*M23,1)</f>
        <v>0</v>
      </c>
      <c r="K23" s="2939" t="s">
        <v>1454</v>
      </c>
      <c r="L23" s="346" t="s">
        <v>1422</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0"/>
      <c r="H24" s="1337" t="s">
        <v>1392</v>
      </c>
      <c r="I24" s="1338" t="s">
        <v>1439</v>
      </c>
      <c r="J24" s="1339">
        <f ca="1">ROUND(J5*M24,1)</f>
        <v>0</v>
      </c>
      <c r="K24" s="1340" t="s">
        <v>1459</v>
      </c>
      <c r="L24" s="1338" t="s">
        <v>1422</v>
      </c>
      <c r="M24" s="1334">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1460</v>
      </c>
      <c r="B25" s="346" t="s">
        <v>1461</v>
      </c>
      <c r="C25" s="24"/>
      <c r="D25" s="139" t="s">
        <v>1462</v>
      </c>
      <c r="E25" s="2933"/>
      <c r="F25" s="26"/>
      <c r="G25" s="1847"/>
      <c r="H25" s="1327" t="s">
        <v>1031</v>
      </c>
      <c r="I25" s="1342" t="s">
        <v>1463</v>
      </c>
      <c r="J25" s="354">
        <f ca="1">J5-J16</f>
        <v>-225</v>
      </c>
      <c r="K25" s="1343" t="s">
        <v>1464</v>
      </c>
      <c r="L25" s="1344"/>
      <c r="M25" s="1345"/>
    </row>
    <row r="26" spans="1:37">
      <c r="A26" s="1199" t="s">
        <v>1034</v>
      </c>
      <c r="B26" s="346" t="s">
        <v>1465</v>
      </c>
      <c r="C26" s="24">
        <f ca="1">ROUND((C19+C20)*F26,0)</f>
        <v>233</v>
      </c>
      <c r="D26" s="368" t="s">
        <v>1466</v>
      </c>
      <c r="E26" s="357" t="s">
        <v>1467</v>
      </c>
      <c r="F26" s="356">
        <f ca="1">INDIRECT("'数据-取费表'!q"&amp;$G$1)</f>
        <v>0.03</v>
      </c>
      <c r="G26" s="1847"/>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5.9999999999999995E-4</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9169</v>
      </c>
      <c r="D29" s="1340"/>
      <c r="E29" s="1338"/>
      <c r="F29" s="1341"/>
      <c r="G29" s="1850"/>
      <c r="H29" s="379" t="s">
        <v>1033</v>
      </c>
      <c r="I29" s="380" t="s">
        <v>1479</v>
      </c>
      <c r="J29" s="381">
        <f ca="1">ROUND(J26/(1+F40)^F41,0)</f>
        <v>0</v>
      </c>
      <c r="K29" s="382" t="s">
        <v>1480</v>
      </c>
      <c r="L29" s="383"/>
      <c r="M29" s="384">
        <f ca="1">INDIRECT("'数据-取费表'!k"&amp;$G$1)</f>
        <v>25234.94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283</v>
      </c>
      <c r="D30" s="1335" t="s">
        <v>1425</v>
      </c>
      <c r="E30" s="2940"/>
      <c r="F30" s="1292"/>
      <c r="G30" s="1847"/>
      <c r="H30" s="744"/>
      <c r="I30" s="745"/>
      <c r="J30" s="746"/>
      <c r="K30" s="747"/>
      <c r="L30" s="748"/>
      <c r="M30" s="749"/>
    </row>
    <row r="31" spans="1:37" ht="18" customHeight="1">
      <c r="A31" s="1199" t="s">
        <v>1035</v>
      </c>
      <c r="B31" s="346" t="s">
        <v>1429</v>
      </c>
      <c r="C31" s="24">
        <f ca="1">ROUND(IF(项目基本情况!B11="自然人",C5*F31,C32+C33+C34),1)</f>
        <v>125.4</v>
      </c>
      <c r="D31" s="2938" t="s">
        <v>1430</v>
      </c>
      <c r="E31" s="2939"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IF(项目基本情况!B11="自然人","——",ROUND(C5*F32/(1+'数据-取费表'!C42),2))</f>
        <v>35.36</v>
      </c>
      <c r="D32" s="2939"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79.56</v>
      </c>
      <c r="D33" s="1824" t="s">
        <v>3094</v>
      </c>
      <c r="E33" s="346" t="s">
        <v>1422</v>
      </c>
      <c r="F33" s="366">
        <f>IF(D33="按票据","——",IF(D33="按租金收入计税",'数据-取费表'!B51,'数据-取费表'!B50))</f>
        <v>0.12</v>
      </c>
      <c r="G33" s="1847"/>
      <c r="H33" s="1855"/>
      <c r="I33" s="1856"/>
      <c r="J33" s="1857"/>
      <c r="K33" s="1858"/>
      <c r="L33" s="1855"/>
      <c r="M33" s="1855"/>
    </row>
    <row r="34" spans="1:18" ht="18" customHeight="1">
      <c r="A34" s="1289" t="s">
        <v>1389</v>
      </c>
      <c r="B34" s="163" t="s">
        <v>1441</v>
      </c>
      <c r="C34" s="25">
        <f ca="1">IF(项目基本情况!B11="自然人","——",ROUND(F34*F35/10000,2))</f>
        <v>10.44</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5798.13</v>
      </c>
      <c r="G35" s="1847"/>
      <c r="H35" s="744"/>
      <c r="I35" s="1856"/>
      <c r="J35" s="1857"/>
      <c r="K35" s="1858"/>
      <c r="L35" s="1855"/>
      <c r="M35" s="1855"/>
    </row>
    <row r="36" spans="1:18" ht="18" customHeight="1">
      <c r="A36" s="1350" t="s">
        <v>1039</v>
      </c>
      <c r="B36" s="346" t="s">
        <v>1449</v>
      </c>
      <c r="C36" s="24">
        <f ca="1">ROUND(C29*F36,1)</f>
        <v>137.5</v>
      </c>
      <c r="D36" s="2939" t="s">
        <v>1482</v>
      </c>
      <c r="E36" s="346" t="s">
        <v>1422</v>
      </c>
      <c r="F36" s="373">
        <f ca="1">INDIRECT("'数据-取费表'!Ak"&amp;$G$1)</f>
        <v>1.4999999999999999E-2</v>
      </c>
      <c r="G36" s="1847"/>
      <c r="H36" s="1855"/>
      <c r="I36" s="1856"/>
      <c r="J36" s="1857"/>
      <c r="K36" s="750"/>
      <c r="L36" s="1855"/>
      <c r="M36" s="1855"/>
    </row>
    <row r="37" spans="1:18" ht="18" customHeight="1">
      <c r="A37" s="1199" t="s">
        <v>1075</v>
      </c>
      <c r="B37" s="346" t="s">
        <v>1453</v>
      </c>
      <c r="C37" s="24">
        <f ca="1">ROUND(C13*F37,1)</f>
        <v>13.8</v>
      </c>
      <c r="D37" s="2939" t="s">
        <v>1454</v>
      </c>
      <c r="E37" s="346" t="s">
        <v>1422</v>
      </c>
      <c r="F37" s="375">
        <f ca="1">INDIRECT("'数据-取费表'!Al"&amp;$G$1)</f>
        <v>1.5E-3</v>
      </c>
      <c r="G37" s="1847"/>
      <c r="H37" s="1855"/>
      <c r="I37" s="1856"/>
      <c r="J37" s="1857"/>
      <c r="K37" s="750"/>
      <c r="L37" s="1855"/>
      <c r="M37" s="1855"/>
    </row>
    <row r="38" spans="1:18" ht="18" customHeight="1" thickBot="1">
      <c r="A38" s="1337" t="s">
        <v>1392</v>
      </c>
      <c r="B38" s="1338" t="s">
        <v>1439</v>
      </c>
      <c r="C38" s="1339">
        <f ca="1">ROUND(C5*F38,1)</f>
        <v>6.6</v>
      </c>
      <c r="D38" s="1340" t="s">
        <v>1459</v>
      </c>
      <c r="E38" s="1338" t="s">
        <v>1422</v>
      </c>
      <c r="F38" s="1334">
        <f ca="1">INDIRECT("'数据-取费表'!Am"&amp;$G$1)</f>
        <v>0.01</v>
      </c>
      <c r="G38" s="1847"/>
      <c r="H38" s="1855"/>
      <c r="I38" s="1856"/>
      <c r="J38" s="1857"/>
      <c r="K38" s="1861"/>
      <c r="L38" s="1855"/>
      <c r="M38" s="1855"/>
    </row>
    <row r="39" spans="1:18" ht="24.6" customHeight="1" thickTop="1">
      <c r="A39" s="1327" t="s">
        <v>1031</v>
      </c>
      <c r="B39" s="1342" t="s">
        <v>1463</v>
      </c>
      <c r="C39" s="354">
        <f ca="1">C5-C30</f>
        <v>380</v>
      </c>
      <c r="D39" s="1343" t="s">
        <v>1464</v>
      </c>
      <c r="E39" s="1344"/>
      <c r="F39" s="1345"/>
      <c r="G39" s="1847"/>
      <c r="H39" s="1855"/>
      <c r="I39" s="1856"/>
      <c r="J39" s="1857"/>
      <c r="K39" s="1861"/>
      <c r="L39" s="1855"/>
      <c r="M39" s="1855"/>
    </row>
    <row r="40" spans="1:18" ht="18" customHeight="1">
      <c r="A40" s="343" t="s">
        <v>1032</v>
      </c>
      <c r="B40" s="344" t="s">
        <v>1485</v>
      </c>
      <c r="C40" s="345">
        <f ca="1">ROUND(C39*(1-((1+F42)/(1+F40))^F41)/(F40-F42),0)</f>
        <v>10171</v>
      </c>
      <c r="D40" s="369" t="s">
        <v>1469</v>
      </c>
      <c r="E40" s="346" t="s">
        <v>1470</v>
      </c>
      <c r="F40" s="356">
        <f ca="1">INDIRECT("'数据-取费表'!I"&amp;$G$1)</f>
        <v>5.5E-2</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46.12</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4031</v>
      </c>
      <c r="D43" s="382" t="s">
        <v>1488</v>
      </c>
      <c r="E43" s="383" t="s">
        <v>1489</v>
      </c>
      <c r="F43" s="384">
        <f ca="1">INDIRECT("'数据-取费表'!k"&amp;$G$1)</f>
        <v>25234.94</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-25682</v>
      </c>
      <c r="D46" s="1868" t="str">
        <f>C2</f>
        <v>万元</v>
      </c>
      <c r="E46" s="1862"/>
      <c r="F46" s="1862"/>
      <c r="I46" s="1869" t="s">
        <v>1521</v>
      </c>
      <c r="J46" s="1870"/>
      <c r="K46" s="1871"/>
      <c r="L46" s="1872" t="str">
        <f ca="1">IF(M47="住宅",0,IF(L48&gt;J51,L60,J60))</f>
        <v>0</v>
      </c>
      <c r="O46" s="1873" t="s">
        <v>1522</v>
      </c>
      <c r="P46" s="1874" t="s">
        <v>1523</v>
      </c>
      <c r="Q46" s="1875" t="s">
        <v>1524</v>
      </c>
      <c r="R46" s="1875" t="s">
        <v>1525</v>
      </c>
    </row>
    <row r="47" spans="1:18" s="1838" customFormat="1" ht="13.5" thickBot="1">
      <c r="A47" s="1163" t="s">
        <v>1396</v>
      </c>
      <c r="B47" s="1195" t="s">
        <v>1397</v>
      </c>
      <c r="C47" s="1365" t="s">
        <v>1398</v>
      </c>
      <c r="D47" s="1195" t="s">
        <v>1399</v>
      </c>
      <c r="E47" s="1277" t="s">
        <v>1400</v>
      </c>
      <c r="F47" s="1278"/>
      <c r="G47" s="791"/>
      <c r="I47" s="1876" t="s">
        <v>1526</v>
      </c>
      <c r="J47" s="1877" t="s">
        <v>3095</v>
      </c>
      <c r="K47" s="1878" t="s">
        <v>1527</v>
      </c>
      <c r="L47" s="1879">
        <f ca="1">INDIRECT("'数据-取费表'!d"&amp;$G$1)</f>
        <v>50</v>
      </c>
      <c r="M47" s="1834" t="str">
        <f>IF(ISNUMBER(FIND("住宅",C1)),"住宅","非住宅")</f>
        <v>非住宅</v>
      </c>
      <c r="O47" s="1880" t="s">
        <v>1040</v>
      </c>
      <c r="P47" s="1881" t="s">
        <v>1528</v>
      </c>
      <c r="Q47" s="1882">
        <f ca="1">C40+J29</f>
        <v>10171</v>
      </c>
      <c r="R47" s="1882" t="s">
        <v>1529</v>
      </c>
    </row>
    <row r="48" spans="1:18" s="1838" customFormat="1" ht="28.5" thickBot="1">
      <c r="A48" s="1358" t="s">
        <v>1135</v>
      </c>
      <c r="B48" s="344" t="s">
        <v>1401</v>
      </c>
      <c r="C48" s="2932">
        <f ca="1">C49+C53+C55</f>
        <v>0</v>
      </c>
      <c r="D48" s="1360"/>
      <c r="E48" s="1361"/>
      <c r="F48" s="1179"/>
      <c r="G48" s="791"/>
      <c r="H48" s="792"/>
      <c r="I48" s="1883" t="s">
        <v>1530</v>
      </c>
      <c r="J48" s="1884" t="s">
        <v>3096</v>
      </c>
      <c r="K48" s="1885" t="s">
        <v>1531</v>
      </c>
      <c r="L48" s="1886">
        <f ca="1">INDIRECT("'数据-取费表'!f"&amp;$G$1)</f>
        <v>47.82</v>
      </c>
      <c r="O48" s="1880" t="s">
        <v>1041</v>
      </c>
      <c r="P48" s="1881" t="s">
        <v>1532</v>
      </c>
      <c r="Q48" s="1882" t="str">
        <f ca="1">J60</f>
        <v>0</v>
      </c>
      <c r="R48" s="1882" t="s">
        <v>1533</v>
      </c>
    </row>
    <row r="49" spans="1:18" s="1838" customFormat="1" ht="13.5" thickBot="1">
      <c r="A49" s="1192" t="s">
        <v>1136</v>
      </c>
      <c r="B49" s="1825" t="s">
        <v>1490</v>
      </c>
      <c r="C49" s="1362">
        <f ca="1">ROUND(F49*F51*F50*(1-F52)/10000,0)</f>
        <v>0</v>
      </c>
      <c r="D49" s="1274" t="s">
        <v>3025</v>
      </c>
      <c r="E49" s="1826" t="s">
        <v>1491</v>
      </c>
      <c r="F49" s="1279"/>
      <c r="G49" s="1887"/>
      <c r="H49" s="792"/>
      <c r="I49" s="1883" t="s">
        <v>1534</v>
      </c>
      <c r="J49" s="1888"/>
      <c r="K49" s="1885" t="s">
        <v>1535</v>
      </c>
      <c r="L49" s="1889"/>
      <c r="O49" s="1890" t="s">
        <v>1042</v>
      </c>
      <c r="P49" s="1881" t="s">
        <v>1536</v>
      </c>
      <c r="Q49" s="1882">
        <f ca="1">C29</f>
        <v>9169</v>
      </c>
      <c r="R49" s="1882" t="s">
        <v>1529</v>
      </c>
    </row>
    <row r="50" spans="1:18" s="1838" customFormat="1" ht="13.5" thickBot="1">
      <c r="A50" s="1193"/>
      <c r="B50" s="1196"/>
      <c r="C50" s="1366"/>
      <c r="D50" s="1170"/>
      <c r="E50" s="1275" t="s">
        <v>1406</v>
      </c>
      <c r="F50" s="1276">
        <f ca="1">F7</f>
        <v>25234.94</v>
      </c>
      <c r="H50" s="792"/>
      <c r="I50" s="1883" t="s">
        <v>1537</v>
      </c>
      <c r="J50" s="1891">
        <f>SUMPRODUCT((I63:I65=J47)*(J62:L62=J48)*(J63:L65))</f>
        <v>60</v>
      </c>
      <c r="K50" s="1885" t="s">
        <v>1538</v>
      </c>
      <c r="L50" s="1889"/>
      <c r="M50" s="1892"/>
      <c r="O50" s="1890" t="s">
        <v>1043</v>
      </c>
      <c r="P50" s="1881" t="s">
        <v>1539</v>
      </c>
      <c r="Q50" s="1893" t="e">
        <f ca="1">J58</f>
        <v>#VALUE!</v>
      </c>
      <c r="R50" s="1882"/>
    </row>
    <row r="51" spans="1:18" s="1838" customFormat="1" ht="13.5" thickBot="1">
      <c r="A51" s="1194"/>
      <c r="B51" s="1196"/>
      <c r="C51" s="1197"/>
      <c r="D51" s="1170"/>
      <c r="E51" s="1198" t="s">
        <v>1407</v>
      </c>
      <c r="F51" s="347">
        <f ca="1">F8</f>
        <v>365</v>
      </c>
      <c r="I51" s="1894" t="s">
        <v>1540</v>
      </c>
      <c r="J51" s="1895">
        <f>IF(J49="",J50,J49+J50-YEAR('数据-取费表'!B2))</f>
        <v>60</v>
      </c>
      <c r="K51" s="1896" t="s">
        <v>1541</v>
      </c>
      <c r="L51" s="1897">
        <f ca="1">ROUND(-PV(INDIRECT("'数据-取费表'!h"&amp;$G$1),L48,(C39-C13*C76),0),0)</f>
        <v>-7793</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f ca="1">J53</f>
        <v>46.12</v>
      </c>
      <c r="R52" s="1882" t="s">
        <v>1546</v>
      </c>
    </row>
    <row r="53" spans="1:18" s="1838" customFormat="1" ht="24.75" thickBot="1">
      <c r="A53" s="1402" t="s">
        <v>1137</v>
      </c>
      <c r="B53" s="1827" t="s">
        <v>1409</v>
      </c>
      <c r="C53" s="360">
        <f ca="1">ROUND(IF(F53="押一",C49/12*F11,IF(F53="押二",C49/12*2*F11,IF(F53="押三",C49/12*3*F11,C54*F11))),0)</f>
        <v>0</v>
      </c>
      <c r="D53" s="1820" t="s">
        <v>3032</v>
      </c>
      <c r="E53" s="357" t="s">
        <v>1410</v>
      </c>
      <c r="F53" s="1364"/>
      <c r="I53" s="1901" t="s">
        <v>1547</v>
      </c>
      <c r="J53" s="1902">
        <f ca="1">IF(M47="住宅",IF(D1="——",MAX(J51,L48),IF(D1="在建（套用方法）",MAX(J51,L48-'数据-取费表'!B24),MAX(J51,L48-'数据-取费表'!B20))),IF(D1="——",MIN(J51,L48),IF(D1="在建（套用方法）",MIN(J51,L48-'数据-取费表'!B24),IF(D1="土地（套用方法）",MIN(J51,L48-'数据-取费表'!B20)))))</f>
        <v>46.12</v>
      </c>
      <c r="K53" s="3237" t="s">
        <v>1548</v>
      </c>
      <c r="L53" s="3238"/>
      <c r="O53" s="1880" t="s">
        <v>1046</v>
      </c>
      <c r="P53" s="1881" t="s">
        <v>1549</v>
      </c>
      <c r="Q53" s="1882">
        <f ca="1">Q47+Q48</f>
        <v>10171</v>
      </c>
      <c r="R53" s="1882" t="s">
        <v>1047</v>
      </c>
    </row>
    <row r="54" spans="1:18" s="1838" customFormat="1" ht="13.5" thickBot="1">
      <c r="A54" s="1403"/>
      <c r="B54" s="1821" t="s">
        <v>1388</v>
      </c>
      <c r="C54" s="1176"/>
      <c r="D54" s="1820"/>
      <c r="E54" s="293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31" t="s">
        <v>1075</v>
      </c>
      <c r="B55" s="1823" t="s">
        <v>1413</v>
      </c>
      <c r="C55" s="1332"/>
      <c r="D55" s="1820"/>
      <c r="E55" s="2936"/>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4">
        <v>2</v>
      </c>
      <c r="B56" s="1175" t="s">
        <v>1414</v>
      </c>
      <c r="C56" s="275">
        <f ca="1">C13</f>
        <v>9169</v>
      </c>
      <c r="D56" s="1910"/>
      <c r="E56" s="1911"/>
      <c r="F56" s="1903"/>
      <c r="I56" s="1912" t="s">
        <v>1554</v>
      </c>
      <c r="J56" s="1913" t="s">
        <v>3053</v>
      </c>
      <c r="K56" s="1883" t="s">
        <v>1555</v>
      </c>
      <c r="L56" s="1886" t="str">
        <f ca="1">IF(L48&lt;J51,"——",L48-J53)</f>
        <v>——</v>
      </c>
      <c r="O56" s="1880" t="s">
        <v>1040</v>
      </c>
      <c r="P56" s="1881" t="s">
        <v>1528</v>
      </c>
      <c r="Q56" s="1882">
        <f ca="1">C40+J29</f>
        <v>10171</v>
      </c>
      <c r="R56" s="1882" t="s">
        <v>1529</v>
      </c>
    </row>
    <row r="57" spans="1:18" s="1838" customFormat="1" ht="24.75" thickBot="1">
      <c r="A57" s="1914"/>
      <c r="B57" s="1167" t="s">
        <v>1478</v>
      </c>
      <c r="C57" s="281">
        <f ca="1">C29</f>
        <v>9169</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5" t="s">
        <v>1424</v>
      </c>
      <c r="C58" s="360">
        <f ca="1">ROUND(C59+C64+C65+C66,0)</f>
        <v>932</v>
      </c>
      <c r="D58" s="1177" t="s">
        <v>1425</v>
      </c>
      <c r="E58" s="1178"/>
      <c r="F58" s="1179"/>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ROUND(IF(项目基本情况!B11="自然人",C48*F59,C60+C61+C62),1)</f>
        <v>780.6</v>
      </c>
      <c r="D59" s="1180" t="s">
        <v>1430</v>
      </c>
      <c r="E59" s="1181" t="s">
        <v>1431</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9" t="s">
        <v>1492</v>
      </c>
      <c r="B61" s="1167" t="s">
        <v>1437</v>
      </c>
      <c r="C61" s="24">
        <f ca="1">IF(项目基本情况!B11="自然人","——",IF(D61="按租金收入计税",ROUND(C48*F61,2),IF(D61="按房产原值计税",ROUND(C57*F61*0.7,2),INDIRECT("'数据-取费表'!Aj"&amp;$G$1))))</f>
        <v>770.2</v>
      </c>
      <c r="D61" s="1824" t="s">
        <v>1438</v>
      </c>
      <c r="E61" s="1167" t="s">
        <v>1422</v>
      </c>
      <c r="F61" s="366">
        <f t="shared" si="0"/>
        <v>0.12</v>
      </c>
      <c r="I61" s="1924"/>
      <c r="J61" s="1924"/>
      <c r="K61" s="1924"/>
      <c r="L61" s="1924"/>
      <c r="O61" s="1890" t="s">
        <v>1045</v>
      </c>
      <c r="P61" s="1881" t="str">
        <f>K59</f>
        <v>续建工期及建筑物耐用年限下的土地年期修正系数Kn</v>
      </c>
      <c r="Q61" s="1882" t="e">
        <f ca="1">L59</f>
        <v>#DIV/0!</v>
      </c>
      <c r="R61" s="1882" t="s">
        <v>1569</v>
      </c>
    </row>
    <row r="62" spans="1:18" s="1838" customFormat="1" ht="13.5" thickBot="1">
      <c r="A62" s="1199" t="s">
        <v>1495</v>
      </c>
      <c r="B62" s="1166" t="s">
        <v>1441</v>
      </c>
      <c r="C62" s="25">
        <f ca="1">IF(项目基本情况!B11="自然人","——",ROUND(F62*F63/10000,2))</f>
        <v>10.44</v>
      </c>
      <c r="D62" s="1182" t="s">
        <v>1442</v>
      </c>
      <c r="E62" s="1167" t="s">
        <v>1443</v>
      </c>
      <c r="F62" s="370">
        <f t="shared" si="0"/>
        <v>18</v>
      </c>
      <c r="I62" s="1925" t="s">
        <v>1570</v>
      </c>
      <c r="J62" s="1926" t="s">
        <v>1571</v>
      </c>
      <c r="K62" s="1926" t="s">
        <v>1572</v>
      </c>
      <c r="L62" s="1926" t="s">
        <v>1573</v>
      </c>
      <c r="M62" s="1927" t="s">
        <v>1574</v>
      </c>
      <c r="O62" s="1880" t="s">
        <v>1046</v>
      </c>
      <c r="P62" s="1881" t="s">
        <v>1549</v>
      </c>
      <c r="Q62" s="1882">
        <f ca="1">Q56+Q57</f>
        <v>10171</v>
      </c>
      <c r="R62" s="1882" t="s">
        <v>1047</v>
      </c>
    </row>
    <row r="63" spans="1:18" s="1838" customFormat="1" ht="13.5" thickBot="1">
      <c r="A63" s="371"/>
      <c r="B63" s="1173"/>
      <c r="C63" s="29"/>
      <c r="D63" s="1183"/>
      <c r="E63" s="1167" t="s">
        <v>1447</v>
      </c>
      <c r="F63" s="347">
        <f t="shared" ca="1" si="0"/>
        <v>5798.13</v>
      </c>
      <c r="I63" s="1925" t="s">
        <v>1576</v>
      </c>
      <c r="J63" s="1926">
        <v>70</v>
      </c>
      <c r="K63" s="1926">
        <v>50</v>
      </c>
      <c r="L63" s="1926">
        <v>80</v>
      </c>
      <c r="M63" s="1928">
        <v>0.02</v>
      </c>
      <c r="O63" s="1865" t="s">
        <v>1577</v>
      </c>
      <c r="P63" s="1835"/>
      <c r="Q63" s="1835"/>
      <c r="R63" s="1835"/>
    </row>
    <row r="64" spans="1:18" s="1838" customFormat="1" ht="13.5" thickBot="1">
      <c r="A64" s="1199" t="s">
        <v>1039</v>
      </c>
      <c r="B64" s="1167" t="s">
        <v>1449</v>
      </c>
      <c r="C64" s="24">
        <f ca="1">ROUND(C57*F64,1)</f>
        <v>137.5</v>
      </c>
      <c r="D64" s="1181" t="s">
        <v>1482</v>
      </c>
      <c r="E64" s="1167" t="s">
        <v>1422</v>
      </c>
      <c r="F64" s="373">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ROUND(C56*F65,1)</f>
        <v>13.8</v>
      </c>
      <c r="D65" s="1181" t="s">
        <v>1454</v>
      </c>
      <c r="E65" s="1167" t="s">
        <v>1422</v>
      </c>
      <c r="F65" s="375">
        <f t="shared" ca="1" si="0"/>
        <v>1.5E-3</v>
      </c>
      <c r="I65" s="1925" t="s">
        <v>1579</v>
      </c>
      <c r="J65" s="1926">
        <v>40</v>
      </c>
      <c r="K65" s="1926">
        <v>30</v>
      </c>
      <c r="L65" s="1926">
        <v>50</v>
      </c>
      <c r="M65" s="1928">
        <v>0.02</v>
      </c>
      <c r="O65" s="1880" t="s">
        <v>1040</v>
      </c>
      <c r="P65" s="1881" t="s">
        <v>1528</v>
      </c>
      <c r="Q65" s="1882">
        <f ca="1">C40+J29</f>
        <v>10171</v>
      </c>
      <c r="R65" s="1882" t="s">
        <v>1529</v>
      </c>
    </row>
    <row r="66" spans="1:18" s="1838" customFormat="1" ht="16.5" thickBot="1">
      <c r="A66" s="1199" t="s">
        <v>1504</v>
      </c>
      <c r="B66" s="1167" t="s">
        <v>1439</v>
      </c>
      <c r="C66" s="24">
        <f ca="1">ROUND(C48*F66,1)</f>
        <v>0</v>
      </c>
      <c r="D66" s="1181" t="s">
        <v>1459</v>
      </c>
      <c r="E66" s="1167" t="s">
        <v>1422</v>
      </c>
      <c r="F66" s="356">
        <f t="shared" ca="1" si="0"/>
        <v>0.01</v>
      </c>
      <c r="O66" s="1880" t="s">
        <v>1041</v>
      </c>
      <c r="P66" s="1881" t="s">
        <v>1558</v>
      </c>
      <c r="Q66" s="1882">
        <f ca="1">L60</f>
        <v>0</v>
      </c>
      <c r="R66" s="1882" t="s">
        <v>1581</v>
      </c>
    </row>
    <row r="67" spans="1:18" s="1838" customFormat="1" ht="16.5" thickBot="1">
      <c r="A67" s="1174" t="s">
        <v>1031</v>
      </c>
      <c r="B67" s="1184" t="s">
        <v>1463</v>
      </c>
      <c r="C67" s="360">
        <f ca="1">C48-C58</f>
        <v>-932</v>
      </c>
      <c r="D67" s="1180" t="s">
        <v>1464</v>
      </c>
      <c r="E67" s="1185"/>
      <c r="F67" s="1186"/>
      <c r="O67" s="1890" t="s">
        <v>1042</v>
      </c>
      <c r="P67" s="1881" t="s">
        <v>1562</v>
      </c>
      <c r="Q67" s="1929">
        <f ca="1">L51</f>
        <v>-7793</v>
      </c>
      <c r="R67" s="1882" t="s">
        <v>1582</v>
      </c>
    </row>
    <row r="68" spans="1:18" s="1838" customFormat="1" ht="16.5" thickBot="1">
      <c r="A68" s="1164" t="s">
        <v>1032</v>
      </c>
      <c r="B68" s="1165" t="s">
        <v>1485</v>
      </c>
      <c r="C68" s="345">
        <f ca="1">ROUND(C67*(1-((1+F70)/(1+F68))^F69)/(F68-F70),0)</f>
        <v>-15511</v>
      </c>
      <c r="D68" s="1182" t="s">
        <v>1469</v>
      </c>
      <c r="E68" s="1167" t="s">
        <v>1470</v>
      </c>
      <c r="F68" s="356">
        <f ca="1">F40</f>
        <v>5.5E-2</v>
      </c>
      <c r="O68" s="1890" t="s">
        <v>1043</v>
      </c>
      <c r="P68" s="1930" t="s">
        <v>1583</v>
      </c>
      <c r="Q68" s="1882">
        <f ca="1">ROUND(Q69-Q70*Q71,0)</f>
        <v>-399</v>
      </c>
      <c r="R68" s="1882" t="s">
        <v>1051</v>
      </c>
    </row>
    <row r="69" spans="1:18" s="1838" customFormat="1" ht="13.5" thickBot="1">
      <c r="A69" s="1168"/>
      <c r="B69" s="1169"/>
      <c r="C69" s="350"/>
      <c r="D69" s="1187" t="s">
        <v>1473</v>
      </c>
      <c r="E69" s="1167" t="s">
        <v>1474</v>
      </c>
      <c r="F69" s="378">
        <f ca="1">F41</f>
        <v>46.12</v>
      </c>
      <c r="O69" s="1890" t="s">
        <v>1048</v>
      </c>
      <c r="P69" s="1930" t="s">
        <v>1584</v>
      </c>
      <c r="Q69" s="1882">
        <f ca="1">C39</f>
        <v>380</v>
      </c>
      <c r="R69" s="1882" t="s">
        <v>1529</v>
      </c>
    </row>
    <row r="70" spans="1:18" s="1838" customFormat="1" ht="13.5" thickBot="1">
      <c r="A70" s="1171"/>
      <c r="B70" s="1172"/>
      <c r="C70" s="354"/>
      <c r="D70" s="1183"/>
      <c r="E70" s="1167" t="s">
        <v>1477</v>
      </c>
      <c r="F70" s="1273"/>
      <c r="O70" s="1890" t="s">
        <v>1049</v>
      </c>
      <c r="P70" s="1930" t="s">
        <v>1585</v>
      </c>
      <c r="Q70" s="1882">
        <f ca="1">C13</f>
        <v>9169</v>
      </c>
      <c r="R70" s="1882" t="s">
        <v>1529</v>
      </c>
    </row>
    <row r="71" spans="1:18" s="1838" customFormat="1" ht="13.5" thickBot="1">
      <c r="A71" s="1188" t="s">
        <v>1033</v>
      </c>
      <c r="B71" s="1189" t="s">
        <v>1487</v>
      </c>
      <c r="C71" s="381">
        <f ca="1">ROUND(C68*10000/F71,0)</f>
        <v>-6147</v>
      </c>
      <c r="D71" s="1190" t="s">
        <v>1488</v>
      </c>
      <c r="E71" s="1191" t="s">
        <v>1489</v>
      </c>
      <c r="F71" s="384">
        <f ca="1">F43</f>
        <v>25234.94</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续建工期及建筑物耐用年限下的土地年期修正系数Kn</v>
      </c>
      <c r="Q74" s="1882" t="e">
        <f ca="1">L59</f>
        <v>#DIV/0!</v>
      </c>
      <c r="R74" s="1882" t="s">
        <v>1569</v>
      </c>
    </row>
    <row r="75" spans="1:18" ht="13.5" thickBot="1">
      <c r="A75" s="1838"/>
      <c r="B75" s="385" t="s">
        <v>1506</v>
      </c>
      <c r="C75" s="386">
        <f ca="1">ROUND(C13*C76,0)</f>
        <v>779</v>
      </c>
      <c r="D75" s="1838"/>
      <c r="E75" s="1838"/>
      <c r="F75" s="1838"/>
      <c r="K75" s="1864"/>
      <c r="L75" s="1838"/>
      <c r="O75" s="1880" t="s">
        <v>1046</v>
      </c>
      <c r="P75" s="1881" t="s">
        <v>1549</v>
      </c>
      <c r="Q75" s="1882">
        <f ca="1">Q65+Q66</f>
        <v>10171</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-1.0499999999999998</v>
      </c>
    </row>
    <row r="80" spans="1:18">
      <c r="B80" s="385" t="s">
        <v>1511</v>
      </c>
      <c r="C80" s="317">
        <f ca="1">ROUND(C75/C39,3)</f>
        <v>2.0499999999999998</v>
      </c>
    </row>
    <row r="81" spans="2:3">
      <c r="B81" s="313" t="s">
        <v>1512</v>
      </c>
      <c r="C81" s="281"/>
    </row>
    <row r="82" spans="2:3">
      <c r="B82" s="316" t="s">
        <v>1513</v>
      </c>
      <c r="C82" s="318">
        <f ca="1">1-C83</f>
        <v>9.8999999999999977E-2</v>
      </c>
    </row>
    <row r="83" spans="2:3">
      <c r="B83" s="316" t="s">
        <v>1514</v>
      </c>
      <c r="C83" s="317">
        <f ca="1">ROUND(C13/C40,3)</f>
        <v>0.90100000000000002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J53" sqref="J53"/>
    </sheetView>
  </sheetViews>
  <sheetFormatPr defaultColWidth="8.875" defaultRowHeight="12.75"/>
  <cols>
    <col min="1" max="1" width="9" style="301" customWidth="1"/>
    <col min="2" max="2" width="20.625" style="706" customWidth="1"/>
    <col min="3" max="3" width="11.875" style="706" customWidth="1"/>
    <col min="4" max="4" width="40.5" style="301" customWidth="1"/>
    <col min="5" max="5" width="15.625" style="301" customWidth="1"/>
    <col min="6" max="6" width="10.625" style="301" customWidth="1"/>
    <col min="7" max="7" width="4.875" style="301" customWidth="1"/>
    <col min="8" max="8" width="8.5" style="301" customWidth="1"/>
    <col min="9" max="9" width="21.125" style="301" customWidth="1"/>
    <col min="10" max="10" width="12.125" style="301" customWidth="1"/>
    <col min="11" max="11" width="40.125" style="1931" customWidth="1"/>
    <col min="12" max="12" width="16.375" style="301" customWidth="1"/>
    <col min="13" max="13" width="13" style="301"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1"/>
  </cols>
  <sheetData>
    <row r="1" spans="1:37" s="336" customFormat="1" ht="21">
      <c r="A1" s="1829" t="s">
        <v>1589</v>
      </c>
      <c r="B1" s="781"/>
      <c r="C1" s="1833"/>
      <c r="D1" s="1816"/>
      <c r="E1" s="1817" t="s">
        <v>1387</v>
      </c>
      <c r="F1" s="1281" t="b">
        <f>J53</f>
        <v>0</v>
      </c>
      <c r="G1" s="1832">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90">
        <f ca="1">C6+C10+C12</f>
        <v>0</v>
      </c>
      <c r="D5" s="1818" t="s">
        <v>1601</v>
      </c>
      <c r="E5" s="1291"/>
      <c r="F5" s="1292"/>
      <c r="G5" s="1847"/>
      <c r="H5" s="343">
        <v>1</v>
      </c>
      <c r="I5" s="344" t="s">
        <v>1600</v>
      </c>
      <c r="J5" s="1290">
        <f ca="1">J6+J10+J12</f>
        <v>0</v>
      </c>
      <c r="K5" s="1818" t="s">
        <v>1601</v>
      </c>
      <c r="L5" s="1291"/>
      <c r="M5" s="1292"/>
    </row>
    <row r="6" spans="1:37" ht="18" customHeight="1">
      <c r="A6" s="1289" t="s">
        <v>1035</v>
      </c>
      <c r="B6" s="3239" t="s">
        <v>1403</v>
      </c>
      <c r="C6" s="1294">
        <f ca="1">ROUND(F6*F8*F7*(1-F9),0)</f>
        <v>0</v>
      </c>
      <c r="D6" s="163" t="s">
        <v>3021</v>
      </c>
      <c r="E6" s="346" t="s">
        <v>1405</v>
      </c>
      <c r="F6" s="347">
        <f ca="1">INDIRECT("'数据-取费表'!u"&amp;$G$1)</f>
        <v>0</v>
      </c>
      <c r="G6" s="1847"/>
      <c r="H6" s="1289" t="s">
        <v>1035</v>
      </c>
      <c r="I6" s="3239" t="s">
        <v>1403</v>
      </c>
      <c r="J6" s="345">
        <f ca="1">ROUND(M6*M8*M7*(1-M9),0)</f>
        <v>0</v>
      </c>
      <c r="K6" s="1830" t="s">
        <v>3022</v>
      </c>
      <c r="L6" s="346" t="s">
        <v>1405</v>
      </c>
      <c r="M6" s="347">
        <f ca="1">INDIRECT("'数据-取费表'!z"&amp;$G$1)</f>
        <v>0</v>
      </c>
    </row>
    <row r="7" spans="1:37" ht="18" customHeight="1">
      <c r="A7" s="1293"/>
      <c r="B7" s="3240"/>
      <c r="C7" s="1295"/>
      <c r="D7" s="351"/>
      <c r="E7" s="1296" t="s">
        <v>1406</v>
      </c>
      <c r="F7" s="347">
        <f ca="1">IF(INDIRECT("'数据-取费表'!ah"&amp;$G$1)="",INDIRECT("'数据-取费表'!k"&amp;$G$1),INDIRECT("'数据-取费表'!ah"&amp;$G$1))</f>
        <v>0</v>
      </c>
      <c r="G7" s="1847"/>
      <c r="H7" s="348"/>
      <c r="I7" s="3240"/>
      <c r="J7" s="350"/>
      <c r="K7" s="351"/>
      <c r="L7" s="346" t="s">
        <v>1406</v>
      </c>
      <c r="M7" s="347">
        <f ca="1">F7</f>
        <v>0</v>
      </c>
    </row>
    <row r="8" spans="1:37" ht="18" customHeight="1">
      <c r="A8" s="348"/>
      <c r="B8" s="3240"/>
      <c r="C8" s="350"/>
      <c r="D8" s="351"/>
      <c r="E8" s="346" t="s">
        <v>1407</v>
      </c>
      <c r="F8" s="347">
        <f ca="1">INDIRECT("'数据-取费表'!ai"&amp;$G$1)</f>
        <v>0</v>
      </c>
      <c r="G8" s="1847"/>
      <c r="H8" s="348"/>
      <c r="I8" s="3240"/>
      <c r="J8" s="350"/>
      <c r="K8" s="351"/>
      <c r="L8" s="346" t="s">
        <v>1407</v>
      </c>
      <c r="M8" s="347">
        <f ca="1">INDIRECT("'数据-取费表'!ai"&amp;$G$1)</f>
        <v>0</v>
      </c>
    </row>
    <row r="9" spans="1:37" ht="18" customHeight="1">
      <c r="A9" s="348"/>
      <c r="B9" s="3241"/>
      <c r="C9" s="350"/>
      <c r="D9" s="351"/>
      <c r="E9" s="346" t="s">
        <v>1408</v>
      </c>
      <c r="F9" s="356">
        <f ca="1">INDIRECT("'数据-取费表'!w"&amp;$G$1)</f>
        <v>0</v>
      </c>
      <c r="G9" s="1847"/>
      <c r="H9" s="348"/>
      <c r="I9" s="3241"/>
      <c r="J9" s="350"/>
      <c r="K9" s="351"/>
      <c r="L9" s="357" t="s">
        <v>1408</v>
      </c>
      <c r="M9" s="358">
        <f ca="1">INDIRECT("'数据-取费表'!ab"&amp;$G$1)</f>
        <v>0</v>
      </c>
    </row>
    <row r="10" spans="1:37" ht="18" customHeight="1">
      <c r="A10" s="1289" t="s">
        <v>1039</v>
      </c>
      <c r="B10" s="1819" t="s">
        <v>1409</v>
      </c>
      <c r="C10" s="360">
        <f ca="1">ROUND(IF(F10="押一",C6/12*F11,IF(F10="押二",C6/12*2*F11,IF(F10="押三",C6/12*3*F11,C11*F11))),0)</f>
        <v>0</v>
      </c>
      <c r="D10" s="1820" t="s">
        <v>3032</v>
      </c>
      <c r="E10" s="357" t="s">
        <v>1410</v>
      </c>
      <c r="F10" s="1364"/>
      <c r="G10" s="1847"/>
      <c r="H10" s="1289" t="s">
        <v>1039</v>
      </c>
      <c r="I10" s="1819" t="s">
        <v>1409</v>
      </c>
      <c r="J10" s="345">
        <f ca="1">ROUND(IF(M10="押一",J6/12*M11,IF(M10="押二",J6/12*2*M11,IF(M10="押三",J6/12*3*M11,J11*M11))),0)</f>
        <v>0</v>
      </c>
      <c r="K10" s="1831" t="s">
        <v>3034</v>
      </c>
      <c r="L10" s="357" t="s">
        <v>1410</v>
      </c>
      <c r="M10" s="1364"/>
    </row>
    <row r="11" spans="1:37" ht="18" customHeight="1">
      <c r="A11" s="352"/>
      <c r="B11" s="1821" t="s">
        <v>1602</v>
      </c>
      <c r="C11" s="1176"/>
      <c r="D11" s="351"/>
      <c r="E11" s="357" t="s">
        <v>1412</v>
      </c>
      <c r="F11" s="358">
        <f ca="1">'数据-取费表'!B39</f>
        <v>1.4999999999999999E-2</v>
      </c>
      <c r="G11" s="1847"/>
      <c r="H11" s="1297"/>
      <c r="I11" s="1821" t="s">
        <v>1603</v>
      </c>
      <c r="J11" s="1176"/>
      <c r="K11" s="747"/>
      <c r="L11" s="357" t="s">
        <v>1412</v>
      </c>
      <c r="M11" s="1054">
        <f ca="1">'数据-取费表'!B39</f>
        <v>1.4999999999999999E-2</v>
      </c>
    </row>
    <row r="12" spans="1:37" ht="18" customHeight="1" thickBot="1">
      <c r="A12" s="1331" t="s">
        <v>1075</v>
      </c>
      <c r="B12" s="1823" t="s">
        <v>1413</v>
      </c>
      <c r="C12" s="1332"/>
      <c r="D12" s="1333"/>
      <c r="E12" s="1338"/>
      <c r="F12" s="1334"/>
      <c r="G12" s="1847"/>
      <c r="H12" s="1331" t="s">
        <v>1075</v>
      </c>
      <c r="I12" s="1823"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7"/>
      <c r="H13" s="1327">
        <v>2</v>
      </c>
      <c r="I13" s="1328" t="s">
        <v>1414</v>
      </c>
      <c r="J13" s="1288">
        <f ca="1">ROUND(J14*J15,0)</f>
        <v>0</v>
      </c>
      <c r="K13" s="1335" t="s">
        <v>1415</v>
      </c>
      <c r="L13" s="1848"/>
      <c r="M13" s="1849"/>
    </row>
    <row r="14" spans="1:37" ht="18" customHeight="1">
      <c r="A14" s="1199" t="s">
        <v>1034</v>
      </c>
      <c r="B14" s="346" t="s">
        <v>1417</v>
      </c>
      <c r="C14" s="362">
        <f ca="1">ROUND(INDIRECT("'数据-取费表'!l"&amp;$G$1)*F43+'数据-取费表'!L14*INDIRECT("'数据-取费表'!S"&amp;$G$1),0)</f>
        <v>0</v>
      </c>
      <c r="D14" s="1796" t="s">
        <v>1418</v>
      </c>
      <c r="E14" s="1790"/>
      <c r="F14" s="363"/>
      <c r="G14" s="1847"/>
      <c r="H14" s="1199" t="s">
        <v>1035</v>
      </c>
      <c r="I14" s="346" t="s">
        <v>1419</v>
      </c>
      <c r="J14" s="24">
        <f ca="1">C29</f>
        <v>0</v>
      </c>
      <c r="K14" s="15"/>
      <c r="L14" s="977"/>
      <c r="M14" s="978"/>
    </row>
    <row r="15" spans="1:37" s="1854" customFormat="1" ht="18" customHeight="1" thickBot="1">
      <c r="A15" s="1199" t="s">
        <v>1036</v>
      </c>
      <c r="B15" s="346" t="s">
        <v>1420</v>
      </c>
      <c r="C15" s="24">
        <f ca="1">ROUND(C14*F15,0)</f>
        <v>0</v>
      </c>
      <c r="D15" s="364" t="s">
        <v>1421</v>
      </c>
      <c r="E15" s="364" t="s">
        <v>1422</v>
      </c>
      <c r="F15" s="365">
        <f>'数据-取费表'!B33</f>
        <v>0.03</v>
      </c>
      <c r="G15" s="1850"/>
      <c r="H15" s="1337" t="s">
        <v>1039</v>
      </c>
      <c r="I15" s="1338" t="s">
        <v>1416</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7"/>
      <c r="H16" s="1327" t="s">
        <v>1030</v>
      </c>
      <c r="I16" s="1328" t="s">
        <v>1424</v>
      </c>
      <c r="J16" s="354">
        <f ca="1">ROUND(J17+J22+J23+J24,0)</f>
        <v>0</v>
      </c>
      <c r="K16" s="1335" t="s">
        <v>1425</v>
      </c>
      <c r="L16" s="1336"/>
      <c r="M16" s="1292"/>
    </row>
    <row r="17" spans="1:37" s="1854" customFormat="1" ht="18" customHeight="1">
      <c r="A17" s="1199" t="s">
        <v>1390</v>
      </c>
      <c r="B17" s="346" t="s">
        <v>1426</v>
      </c>
      <c r="C17" s="24">
        <f ca="1">ROUND(F17*(F43+INDIRECT("'数据-取费表'!S"&amp;$G$1)),0)</f>
        <v>0</v>
      </c>
      <c r="D17" s="346" t="s">
        <v>1427</v>
      </c>
      <c r="E17" s="346" t="s">
        <v>1428</v>
      </c>
      <c r="F17" s="26">
        <f>'数据-取费表'!B35</f>
        <v>200</v>
      </c>
      <c r="G17" s="1850"/>
      <c r="H17" s="1199" t="s">
        <v>1035</v>
      </c>
      <c r="I17" s="346" t="s">
        <v>1429</v>
      </c>
      <c r="J17" s="24">
        <f ca="1">ROUND(IF(项目基本情况!B11="自然人",J5*M17,J18+J19+J20),0)</f>
        <v>0</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1391</v>
      </c>
      <c r="B18" s="346" t="s">
        <v>1432</v>
      </c>
      <c r="C18" s="24">
        <f ca="1">ROUND(C14*F18,0)</f>
        <v>0</v>
      </c>
      <c r="D18" s="346" t="s">
        <v>1421</v>
      </c>
      <c r="E18" s="346" t="s">
        <v>1422</v>
      </c>
      <c r="F18" s="366">
        <f>'数据-取费表'!B36</f>
        <v>1.4999999999999999E-2</v>
      </c>
      <c r="G18" s="1850"/>
      <c r="H18" s="1199" t="s">
        <v>1034</v>
      </c>
      <c r="I18" s="346" t="s">
        <v>1433</v>
      </c>
      <c r="J18" s="24">
        <f ca="1">ROUND(J5*M18/(1+'数据-取费表'!C42),0)</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1435</v>
      </c>
      <c r="C19" s="24">
        <f ca="1">SUM(C14:C18)</f>
        <v>0</v>
      </c>
      <c r="D19" s="139" t="s">
        <v>1436</v>
      </c>
      <c r="E19" s="1814"/>
      <c r="F19" s="26"/>
      <c r="G19" s="1847"/>
      <c r="H19" s="1199" t="s">
        <v>1036</v>
      </c>
      <c r="I19" s="346" t="s">
        <v>1437</v>
      </c>
      <c r="J19" s="24">
        <f ca="1">IF(K19="按租金收入计税",ROUND(J5*M19,0),ROUND(C29*M19*0.7,0))</f>
        <v>0</v>
      </c>
      <c r="K19" s="1824" t="s">
        <v>1438</v>
      </c>
      <c r="L19" s="346" t="s">
        <v>1422</v>
      </c>
      <c r="M19" s="366">
        <f>IF(K19="按租金收入计税",'数据-取费表'!B51,'数据-取费表'!B50)</f>
        <v>1.2E-2</v>
      </c>
    </row>
    <row r="20" spans="1:37" s="1854" customFormat="1" ht="18" customHeight="1">
      <c r="A20" s="1199" t="s">
        <v>1039</v>
      </c>
      <c r="B20" s="346" t="s">
        <v>1439</v>
      </c>
      <c r="C20" s="24">
        <f ca="1">ROUND(C19*F20,0)</f>
        <v>0</v>
      </c>
      <c r="D20" s="368" t="s">
        <v>1440</v>
      </c>
      <c r="E20" s="346" t="s">
        <v>1422</v>
      </c>
      <c r="F20" s="366">
        <f>'数据-取费表'!B37</f>
        <v>0.02</v>
      </c>
      <c r="G20" s="1850"/>
      <c r="H20" s="1199" t="s">
        <v>1389</v>
      </c>
      <c r="I20" s="163" t="s">
        <v>1441</v>
      </c>
      <c r="J20" s="25">
        <f ca="1">ROUND(M20*M21,0)</f>
        <v>0</v>
      </c>
      <c r="K20" s="369" t="s">
        <v>1442</v>
      </c>
      <c r="L20" s="346" t="s">
        <v>1443</v>
      </c>
      <c r="M20" s="370">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1444</v>
      </c>
      <c r="C21" s="24" t="s">
        <v>1</v>
      </c>
      <c r="D21" s="368" t="s">
        <v>1445</v>
      </c>
      <c r="E21" s="346" t="s">
        <v>1446</v>
      </c>
      <c r="F21" s="366">
        <f>'数据-取费表'!B38</f>
        <v>0.02</v>
      </c>
      <c r="G21" s="1850"/>
      <c r="H21" s="371"/>
      <c r="I21" s="355"/>
      <c r="J21" s="29"/>
      <c r="K21" s="372"/>
      <c r="L21" s="346" t="s">
        <v>1447</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4"/>
      <c r="F22" s="26"/>
      <c r="G22" s="1847"/>
      <c r="H22" s="1199" t="s">
        <v>1039</v>
      </c>
      <c r="I22" s="346" t="s">
        <v>1449</v>
      </c>
      <c r="J22" s="24">
        <f ca="1">ROUND(J14*M22,0)</f>
        <v>0</v>
      </c>
      <c r="K22" s="1794" t="s">
        <v>1450</v>
      </c>
      <c r="L22" s="346" t="s">
        <v>1422</v>
      </c>
      <c r="M22" s="373">
        <f ca="1">INDIRECT("'数据-取费表'!Ak"&amp;$G$1)</f>
        <v>0</v>
      </c>
    </row>
    <row r="23" spans="1:37" s="1854"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0"/>
      <c r="H23" s="1199" t="s">
        <v>1075</v>
      </c>
      <c r="I23" s="346" t="s">
        <v>1453</v>
      </c>
      <c r="J23" s="24">
        <f ca="1">ROUND(J13*M23,0)</f>
        <v>0</v>
      </c>
      <c r="K23" s="1794" t="s">
        <v>1454</v>
      </c>
      <c r="L23" s="346" t="s">
        <v>1455</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0"/>
      <c r="H24" s="1337" t="s">
        <v>1393</v>
      </c>
      <c r="I24" s="1338" t="s">
        <v>1439</v>
      </c>
      <c r="J24" s="1339">
        <f ca="1">ROUND(J5*M24,0)</f>
        <v>0</v>
      </c>
      <c r="K24" s="1340" t="s">
        <v>1459</v>
      </c>
      <c r="L24" s="1338" t="s">
        <v>1455</v>
      </c>
      <c r="M24" s="1334">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9" t="s">
        <v>1460</v>
      </c>
      <c r="B25" s="346" t="s">
        <v>1461</v>
      </c>
      <c r="C25" s="24"/>
      <c r="D25" s="139" t="s">
        <v>1462</v>
      </c>
      <c r="E25" s="1814"/>
      <c r="F25" s="26"/>
      <c r="G25" s="1847"/>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7"/>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7"/>
      <c r="H27" s="348"/>
      <c r="I27" s="349"/>
      <c r="J27" s="350"/>
      <c r="K27" s="377" t="s">
        <v>1473</v>
      </c>
      <c r="L27" s="346" t="s">
        <v>1474</v>
      </c>
      <c r="M27" s="378">
        <f ca="1">INDIRECT("'数据-取费表'!ag"&amp;$G$1)</f>
        <v>0</v>
      </c>
    </row>
    <row r="28" spans="1:37" s="1854" customFormat="1" ht="18" customHeight="1">
      <c r="A28" s="1199"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1478</v>
      </c>
      <c r="C29" s="1339">
        <f ca="1">ROUND((C19+C20+C23+C26)/(1-F21-C24-C27-C28),0)</f>
        <v>0</v>
      </c>
      <c r="D29" s="1340"/>
      <c r="E29" s="1338"/>
      <c r="F29" s="1341"/>
      <c r="G29" s="1850"/>
      <c r="H29" s="379" t="s">
        <v>1033</v>
      </c>
      <c r="I29" s="380" t="s">
        <v>1479</v>
      </c>
      <c r="J29" s="381">
        <f ca="1">ROUND(J26/(1+F40)^F41,0)</f>
        <v>0</v>
      </c>
      <c r="K29" s="382" t="s">
        <v>1480</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1424</v>
      </c>
      <c r="C30" s="354">
        <f ca="1">ROUND(C31+C36+C37+C38,0)</f>
        <v>0</v>
      </c>
      <c r="D30" s="1335" t="s">
        <v>1425</v>
      </c>
      <c r="E30" s="1336"/>
      <c r="F30" s="1292"/>
      <c r="G30" s="1847"/>
      <c r="H30" s="744"/>
      <c r="I30" s="745"/>
      <c r="J30" s="746"/>
      <c r="K30" s="747"/>
      <c r="L30" s="748"/>
      <c r="M30" s="749"/>
    </row>
    <row r="31" spans="1:37" ht="18" customHeight="1">
      <c r="A31" s="1199" t="s">
        <v>1035</v>
      </c>
      <c r="B31" s="346" t="s">
        <v>1429</v>
      </c>
      <c r="C31" s="24">
        <f ca="1">ROUND(IF(项目基本情况!B11="自然人",C5*F31,C32+C33+C34),0)</f>
        <v>0</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1433</v>
      </c>
      <c r="C32" s="24">
        <f ca="1">IF(项目基本情况!B11="自然人","——",ROUND(C5*F32/(1+'数据-取费表'!C42),0))</f>
        <v>0</v>
      </c>
      <c r="D32" s="1794" t="s">
        <v>1434</v>
      </c>
      <c r="E32" s="346" t="s">
        <v>1422</v>
      </c>
      <c r="F32" s="376">
        <f>'数据-取费表'!B41</f>
        <v>5.6000000000000001E-2</v>
      </c>
      <c r="G32" s="1847"/>
      <c r="H32" s="744"/>
      <c r="I32" s="745"/>
      <c r="J32" s="746"/>
      <c r="K32" s="747"/>
      <c r="L32" s="748"/>
      <c r="M32" s="749"/>
    </row>
    <row r="33" spans="1:18" ht="18" customHeight="1">
      <c r="A33" s="1199" t="s">
        <v>1036</v>
      </c>
      <c r="B33" s="346" t="s">
        <v>1437</v>
      </c>
      <c r="C33" s="24">
        <f ca="1">IF(项目基本情况!B11="自然人","——",IF(D33="按租金收入计税",ROUND(C5*F33,0),IF(D33="按房产原值计税",ROUND(C29*F33*0.7,0),INDIRECT("'数据-取费表'!Aj"&amp;$G$1))))</f>
        <v>0</v>
      </c>
      <c r="D33" s="1824" t="s">
        <v>1438</v>
      </c>
      <c r="E33" s="346" t="s">
        <v>1422</v>
      </c>
      <c r="F33" s="366">
        <f>IF(D33="按票据","——",IF(D33="按租金收入计税",'数据-取费表'!B51,'数据-取费表'!B50))</f>
        <v>1.2E-2</v>
      </c>
      <c r="G33" s="1847"/>
      <c r="H33" s="1855"/>
      <c r="I33" s="1856"/>
      <c r="J33" s="1857"/>
      <c r="K33" s="1858"/>
      <c r="L33" s="1855"/>
      <c r="M33" s="1855"/>
    </row>
    <row r="34" spans="1:18" ht="18" customHeight="1">
      <c r="A34" s="1289" t="s">
        <v>1389</v>
      </c>
      <c r="B34" s="163" t="s">
        <v>1441</v>
      </c>
      <c r="C34" s="25">
        <f ca="1">IF(项目基本情况!B11="自然人","——",ROUND(F34*F35,))</f>
        <v>0</v>
      </c>
      <c r="D34" s="369" t="s">
        <v>1442</v>
      </c>
      <c r="E34" s="346" t="s">
        <v>1443</v>
      </c>
      <c r="F34" s="370">
        <f>'数据-取费表'!B52</f>
        <v>18</v>
      </c>
      <c r="G34" s="1847"/>
      <c r="H34" s="744"/>
      <c r="I34" s="1856"/>
      <c r="J34" s="1857"/>
      <c r="K34" s="1859"/>
      <c r="L34" s="1860"/>
      <c r="M34" s="1860"/>
    </row>
    <row r="35" spans="1:18" ht="18" customHeight="1">
      <c r="A35" s="1351"/>
      <c r="B35" s="1349"/>
      <c r="C35" s="29"/>
      <c r="D35" s="372"/>
      <c r="E35" s="346" t="s">
        <v>1447</v>
      </c>
      <c r="F35" s="347">
        <f ca="1">INDIRECT("'数据-取费表'!r"&amp;$G$1)</f>
        <v>0</v>
      </c>
      <c r="G35" s="1847"/>
      <c r="H35" s="744"/>
      <c r="I35" s="1856"/>
      <c r="J35" s="1857"/>
      <c r="K35" s="1858"/>
      <c r="L35" s="1855"/>
      <c r="M35" s="1855"/>
    </row>
    <row r="36" spans="1:18" ht="18" customHeight="1">
      <c r="A36" s="1350" t="s">
        <v>1039</v>
      </c>
      <c r="B36" s="346" t="s">
        <v>1449</v>
      </c>
      <c r="C36" s="24">
        <f ca="1">ROUND(C29*F36,0)</f>
        <v>0</v>
      </c>
      <c r="D36" s="1794" t="s">
        <v>1482</v>
      </c>
      <c r="E36" s="346" t="s">
        <v>1422</v>
      </c>
      <c r="F36" s="373">
        <f ca="1">INDIRECT("'数据-取费表'!Ak"&amp;$G$1)</f>
        <v>0</v>
      </c>
      <c r="G36" s="1847"/>
      <c r="H36" s="1855"/>
      <c r="I36" s="1856"/>
      <c r="J36" s="1857"/>
      <c r="K36" s="750"/>
      <c r="L36" s="1855"/>
      <c r="M36" s="1855"/>
    </row>
    <row r="37" spans="1:18" ht="18" customHeight="1">
      <c r="A37" s="1199" t="s">
        <v>1075</v>
      </c>
      <c r="B37" s="346" t="s">
        <v>1453</v>
      </c>
      <c r="C37" s="24">
        <f ca="1">ROUND(C13*F37,0)</f>
        <v>0</v>
      </c>
      <c r="D37" s="1794" t="s">
        <v>1454</v>
      </c>
      <c r="E37" s="346" t="s">
        <v>1455</v>
      </c>
      <c r="F37" s="375">
        <f ca="1">INDIRECT("'数据-取费表'!Al"&amp;$G$1)</f>
        <v>0</v>
      </c>
      <c r="G37" s="1847"/>
      <c r="H37" s="1855"/>
      <c r="I37" s="1856"/>
      <c r="J37" s="1857"/>
      <c r="K37" s="750"/>
      <c r="L37" s="1855"/>
      <c r="M37" s="1855"/>
    </row>
    <row r="38" spans="1:18" ht="18" customHeight="1" thickBot="1">
      <c r="A38" s="1337" t="s">
        <v>1393</v>
      </c>
      <c r="B38" s="1338" t="s">
        <v>1439</v>
      </c>
      <c r="C38" s="1339">
        <f ca="1">ROUND(C5*F38,1)</f>
        <v>0</v>
      </c>
      <c r="D38" s="1340" t="s">
        <v>1459</v>
      </c>
      <c r="E38" s="1338" t="s">
        <v>1455</v>
      </c>
      <c r="F38" s="1334">
        <f ca="1">INDIRECT("'数据-取费表'!Am"&amp;$G$1)</f>
        <v>0</v>
      </c>
      <c r="G38" s="1847"/>
      <c r="H38" s="1855"/>
      <c r="I38" s="1856"/>
      <c r="J38" s="1857"/>
      <c r="K38" s="1861"/>
      <c r="L38" s="1855"/>
      <c r="M38" s="1855"/>
    </row>
    <row r="39" spans="1:18" ht="24.6" customHeight="1" thickTop="1">
      <c r="A39" s="1327" t="s">
        <v>1031</v>
      </c>
      <c r="B39" s="1342" t="s">
        <v>1483</v>
      </c>
      <c r="C39" s="354">
        <f ca="1">C5-C30</f>
        <v>0</v>
      </c>
      <c r="D39" s="1343" t="s">
        <v>1484</v>
      </c>
      <c r="E39" s="1344"/>
      <c r="F39" s="1345"/>
      <c r="G39" s="1847"/>
      <c r="H39" s="1855"/>
      <c r="I39" s="1856"/>
      <c r="J39" s="1857"/>
      <c r="K39" s="1861"/>
      <c r="L39" s="1855"/>
      <c r="M39" s="1855"/>
    </row>
    <row r="40" spans="1:18" ht="18" customHeight="1">
      <c r="A40" s="343" t="s">
        <v>1032</v>
      </c>
      <c r="B40" s="344" t="s">
        <v>1485</v>
      </c>
      <c r="C40" s="345" t="e">
        <f ca="1">ROUND(C39*(1-((1+F42)/(1+F40))^F41)/(F40-F42),0)</f>
        <v>#DIV/0!</v>
      </c>
      <c r="D40" s="369" t="s">
        <v>1469</v>
      </c>
      <c r="E40" s="346" t="s">
        <v>1470</v>
      </c>
      <c r="F40" s="356">
        <f ca="1">INDIRECT("'数据-取费表'!I"&amp;$G$1)</f>
        <v>0</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1477</v>
      </c>
      <c r="F42" s="356">
        <f ca="1">INDIRECT("'数据-取费表'!v"&amp;$G$1)</f>
        <v>0</v>
      </c>
      <c r="G42" s="1847"/>
      <c r="H42" s="731"/>
      <c r="I42" s="1856"/>
      <c r="J42" s="1857"/>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3" t="s">
        <v>1396</v>
      </c>
      <c r="B47" s="1195" t="s">
        <v>1397</v>
      </c>
      <c r="C47" s="1195" t="s">
        <v>1398</v>
      </c>
      <c r="D47" s="1195" t="s">
        <v>1399</v>
      </c>
      <c r="E47" s="1277" t="s">
        <v>1400</v>
      </c>
      <c r="F47" s="1278"/>
      <c r="G47" s="791"/>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8" t="s">
        <v>1135</v>
      </c>
      <c r="B48" s="344" t="s">
        <v>1401</v>
      </c>
      <c r="C48" s="1813">
        <f ca="1">C49+C53+C55</f>
        <v>0</v>
      </c>
      <c r="D48" s="1360"/>
      <c r="E48" s="1361"/>
      <c r="F48" s="1179"/>
      <c r="G48" s="791"/>
      <c r="H48" s="792"/>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2" t="s">
        <v>1136</v>
      </c>
      <c r="B49" s="1825" t="s">
        <v>1490</v>
      </c>
      <c r="C49" s="1362">
        <f ca="1">ROUND(F49*F51*F50*(1-F52),0)</f>
        <v>0</v>
      </c>
      <c r="D49" s="1274" t="s">
        <v>1404</v>
      </c>
      <c r="E49" s="1826" t="s">
        <v>1491</v>
      </c>
      <c r="F49" s="1279"/>
      <c r="G49" s="1887"/>
      <c r="H49" s="792"/>
      <c r="I49" s="1883" t="s">
        <v>1534</v>
      </c>
      <c r="J49" s="1888"/>
      <c r="K49" s="1885" t="s">
        <v>1535</v>
      </c>
      <c r="L49" s="1889"/>
      <c r="O49" s="1890" t="s">
        <v>1042</v>
      </c>
      <c r="P49" s="1881" t="s">
        <v>1536</v>
      </c>
      <c r="Q49" s="1882">
        <f ca="1">C29</f>
        <v>0</v>
      </c>
      <c r="R49" s="1882" t="s">
        <v>1529</v>
      </c>
    </row>
    <row r="50" spans="1:18" s="1838" customFormat="1" ht="13.5" thickBot="1">
      <c r="A50" s="1193"/>
      <c r="B50" s="1196"/>
      <c r="C50" s="1197"/>
      <c r="D50" s="1170"/>
      <c r="E50" s="1275" t="s">
        <v>1406</v>
      </c>
      <c r="F50" s="1276">
        <f ca="1">F7</f>
        <v>0</v>
      </c>
      <c r="H50" s="792"/>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4"/>
      <c r="B51" s="1196"/>
      <c r="C51" s="1197"/>
      <c r="D51" s="1170"/>
      <c r="E51" s="1198" t="s">
        <v>1407</v>
      </c>
      <c r="F51" s="347">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4"/>
      <c r="B52" s="1196"/>
      <c r="C52" s="1197"/>
      <c r="D52" s="1170"/>
      <c r="E52" s="1198" t="s">
        <v>1408</v>
      </c>
      <c r="F52" s="1273"/>
      <c r="I52" s="1899" t="s">
        <v>1543</v>
      </c>
      <c r="J52" s="1900"/>
      <c r="K52" s="1899" t="s">
        <v>1544</v>
      </c>
      <c r="L52" s="1900"/>
      <c r="O52" s="1890" t="s">
        <v>1045</v>
      </c>
      <c r="P52" s="1881" t="s">
        <v>1545</v>
      </c>
      <c r="Q52" s="1882" t="b">
        <f>J53</f>
        <v>0</v>
      </c>
      <c r="R52" s="1882" t="s">
        <v>1546</v>
      </c>
    </row>
    <row r="53" spans="1:18" s="1838" customFormat="1" ht="30.75" customHeight="1" thickBot="1">
      <c r="A53" s="1359" t="s">
        <v>1137</v>
      </c>
      <c r="B53" s="368" t="s">
        <v>1409</v>
      </c>
      <c r="C53" s="360">
        <f ca="1">ROUND(IF(F53="押一",C49/12*F11,IF(F53="押二",C49/12*2*F11,IF(F53="押三",C49/12*3*F11,C54*F11))),0)</f>
        <v>0</v>
      </c>
      <c r="D53" s="1820" t="s">
        <v>3035</v>
      </c>
      <c r="E53" s="357" t="s">
        <v>1410</v>
      </c>
      <c r="F53" s="1364"/>
      <c r="I53" s="1901" t="s">
        <v>1547</v>
      </c>
      <c r="J53" s="1902" t="b">
        <f>IF(M47="住宅",IF(D1="——",MAX(J51,L48),IF(D1="在建（套用方法）",MAX(J51,L48-'数据-取费表'!B24),MAX(J51,L48-'数据-取费表'!B20))),IF(D1="——",MIN(J51,L48),IF(D1="在建（套用方法）",MIN(J51,L48-'数据-取费表'!B24),IF(D1="土地（套用方法）",MIN(J51,L48-'数据-取费表'!B20)))))</f>
        <v>0</v>
      </c>
      <c r="K53" s="3237" t="s">
        <v>1548</v>
      </c>
      <c r="L53" s="3238"/>
      <c r="O53" s="1880" t="s">
        <v>1046</v>
      </c>
      <c r="P53" s="1881" t="s">
        <v>1549</v>
      </c>
      <c r="Q53" s="1882" t="e">
        <f ca="1">Q47+Q48</f>
        <v>#DIV/0!</v>
      </c>
      <c r="R53" s="1882" t="s">
        <v>1047</v>
      </c>
    </row>
    <row r="54" spans="1:18" s="1838" customFormat="1" ht="13.5" thickBot="1">
      <c r="A54" s="1192"/>
      <c r="B54" s="1937" t="s">
        <v>1603</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31" t="s">
        <v>1075</v>
      </c>
      <c r="B55" s="1823" t="s">
        <v>1413</v>
      </c>
      <c r="C55" s="1332"/>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4">
        <v>2</v>
      </c>
      <c r="B56" s="1175" t="s">
        <v>1414</v>
      </c>
      <c r="C56" s="275">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7" t="s">
        <v>1478</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5" t="s">
        <v>1424</v>
      </c>
      <c r="C58" s="360">
        <f ca="1">ROUND(C59+C64+C65+C66,0)</f>
        <v>0</v>
      </c>
      <c r="D58" s="1177" t="s">
        <v>1425</v>
      </c>
      <c r="E58" s="1178"/>
      <c r="F58" s="1179"/>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9" t="s">
        <v>1492</v>
      </c>
      <c r="B61" s="1167" t="s">
        <v>1493</v>
      </c>
      <c r="C61" s="24">
        <f ca="1">IF(项目基本情况!B11="自然人","——",IF(D61="按租金收入计税",ROUND(C48*F61,0),IF(D61="按房产原值计税",ROUND(C57*F61*0.7,0),INDIRECT("'数据-取费表'!Aj"&amp;$G$1))))</f>
        <v>0</v>
      </c>
      <c r="D61" s="1824" t="s">
        <v>1438</v>
      </c>
      <c r="E61" s="1167" t="s">
        <v>1494</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9" t="s">
        <v>1495</v>
      </c>
      <c r="B62" s="1166" t="s">
        <v>1496</v>
      </c>
      <c r="C62" s="25">
        <f ca="1">IF(项目基本情况!B11="自然人","——",ROUND(F62*F63,0))</f>
        <v>0</v>
      </c>
      <c r="D62" s="1182" t="s">
        <v>1497</v>
      </c>
      <c r="E62" s="1167" t="s">
        <v>1498</v>
      </c>
      <c r="F62" s="370">
        <f t="shared" si="0"/>
        <v>18</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3"/>
      <c r="C63" s="29"/>
      <c r="D63" s="1183"/>
      <c r="E63" s="1167" t="s">
        <v>1499</v>
      </c>
      <c r="F63" s="347">
        <f t="shared" ca="1" si="0"/>
        <v>0</v>
      </c>
      <c r="I63" s="1925" t="s">
        <v>1576</v>
      </c>
      <c r="J63" s="1926">
        <v>70</v>
      </c>
      <c r="K63" s="1926">
        <v>50</v>
      </c>
      <c r="L63" s="1926">
        <v>80</v>
      </c>
      <c r="M63" s="1928">
        <v>0.02</v>
      </c>
      <c r="O63" s="1865" t="s">
        <v>1577</v>
      </c>
      <c r="P63" s="1835"/>
      <c r="Q63" s="1835"/>
      <c r="R63" s="1835"/>
    </row>
    <row r="64" spans="1:18" s="1838" customFormat="1" ht="13.5" thickBot="1">
      <c r="A64" s="1199" t="s">
        <v>1500</v>
      </c>
      <c r="B64" s="1167" t="s">
        <v>1501</v>
      </c>
      <c r="C64" s="24">
        <f ca="1">ROUND(C57*F64,0)</f>
        <v>0</v>
      </c>
      <c r="D64" s="1181" t="s">
        <v>1502</v>
      </c>
      <c r="E64" s="1167" t="s">
        <v>1494</v>
      </c>
      <c r="F64" s="373">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199" t="s">
        <v>1503</v>
      </c>
      <c r="B65" s="1167" t="s">
        <v>1453</v>
      </c>
      <c r="C65" s="24">
        <f ca="1">ROUND(C56*F65,0)</f>
        <v>0</v>
      </c>
      <c r="D65" s="1181" t="s">
        <v>1454</v>
      </c>
      <c r="E65" s="1167" t="s">
        <v>1455</v>
      </c>
      <c r="F65" s="375">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9" t="s">
        <v>1504</v>
      </c>
      <c r="B66" s="1167" t="s">
        <v>1439</v>
      </c>
      <c r="C66" s="24">
        <f ca="1">ROUND(C48*F66,0)</f>
        <v>0</v>
      </c>
      <c r="D66" s="1181" t="s">
        <v>1505</v>
      </c>
      <c r="E66" s="1167" t="s">
        <v>1422</v>
      </c>
      <c r="F66" s="356">
        <f t="shared" ca="1" si="0"/>
        <v>0</v>
      </c>
      <c r="O66" s="1880" t="s">
        <v>1041</v>
      </c>
      <c r="P66" s="1881" t="s">
        <v>1558</v>
      </c>
      <c r="Q66" s="1882" t="e">
        <f ca="1">L60</f>
        <v>#DIV/0!</v>
      </c>
      <c r="R66" s="1882" t="s">
        <v>1581</v>
      </c>
    </row>
    <row r="67" spans="1:18" s="1838" customFormat="1" ht="16.5" thickBot="1">
      <c r="A67" s="1174" t="s">
        <v>1031</v>
      </c>
      <c r="B67" s="1184" t="s">
        <v>1463</v>
      </c>
      <c r="C67" s="360">
        <f ca="1">C48-C58</f>
        <v>0</v>
      </c>
      <c r="D67" s="1180" t="s">
        <v>1464</v>
      </c>
      <c r="E67" s="1185"/>
      <c r="F67" s="1186"/>
      <c r="O67" s="1890" t="s">
        <v>1042</v>
      </c>
      <c r="P67" s="1881" t="s">
        <v>1562</v>
      </c>
      <c r="Q67" s="1929">
        <f ca="1">L51</f>
        <v>0</v>
      </c>
      <c r="R67" s="1882" t="s">
        <v>1582</v>
      </c>
    </row>
    <row r="68" spans="1:18" s="1838" customFormat="1" ht="16.5" thickBot="1">
      <c r="A68" s="1164" t="s">
        <v>1032</v>
      </c>
      <c r="B68" s="1165" t="s">
        <v>1485</v>
      </c>
      <c r="C68" s="345" t="e">
        <f ca="1">ROUND(C67*(1-((1+F70)/(1+F68))^F69)/(F68-F70),0)</f>
        <v>#DIV/0!</v>
      </c>
      <c r="D68" s="1182" t="s">
        <v>1469</v>
      </c>
      <c r="E68" s="1167" t="s">
        <v>1470</v>
      </c>
      <c r="F68" s="356">
        <f ca="1">F40</f>
        <v>0</v>
      </c>
      <c r="O68" s="1890" t="s">
        <v>1043</v>
      </c>
      <c r="P68" s="1930" t="s">
        <v>1583</v>
      </c>
      <c r="Q68" s="1882">
        <f ca="1">ROUND(Q69-Q70*Q71,0)</f>
        <v>0</v>
      </c>
      <c r="R68" s="1882" t="s">
        <v>1051</v>
      </c>
    </row>
    <row r="69" spans="1:18" s="1838" customFormat="1" ht="13.5" thickBot="1">
      <c r="A69" s="1168"/>
      <c r="B69" s="1169"/>
      <c r="C69" s="350"/>
      <c r="D69" s="1187" t="s">
        <v>1473</v>
      </c>
      <c r="E69" s="1167" t="s">
        <v>1474</v>
      </c>
      <c r="F69" s="378">
        <f ca="1">F41</f>
        <v>0</v>
      </c>
      <c r="O69" s="1890" t="s">
        <v>1048</v>
      </c>
      <c r="P69" s="1930" t="s">
        <v>1584</v>
      </c>
      <c r="Q69" s="1882">
        <f ca="1">C39</f>
        <v>0</v>
      </c>
      <c r="R69" s="1882" t="s">
        <v>1529</v>
      </c>
    </row>
    <row r="70" spans="1:18" s="1838" customFormat="1" ht="13.5" thickBot="1">
      <c r="A70" s="1171"/>
      <c r="B70" s="1172"/>
      <c r="C70" s="354"/>
      <c r="D70" s="1183"/>
      <c r="E70" s="1167" t="s">
        <v>1477</v>
      </c>
      <c r="F70" s="1273">
        <f ca="1">F42</f>
        <v>0</v>
      </c>
      <c r="O70" s="1890" t="s">
        <v>1049</v>
      </c>
      <c r="P70" s="1930" t="s">
        <v>1585</v>
      </c>
      <c r="Q70" s="1882">
        <f ca="1">C13</f>
        <v>0</v>
      </c>
      <c r="R70" s="1882" t="s">
        <v>1529</v>
      </c>
    </row>
    <row r="71" spans="1:18" s="1838" customFormat="1" ht="13.5" thickBot="1">
      <c r="A71" s="1188" t="s">
        <v>1033</v>
      </c>
      <c r="B71" s="1189" t="s">
        <v>1487</v>
      </c>
      <c r="C71" s="381" t="e">
        <f ca="1">ROUND(C68/F71,0)</f>
        <v>#DIV/0!</v>
      </c>
      <c r="D71" s="1190" t="s">
        <v>1488</v>
      </c>
      <c r="E71" s="1191" t="s">
        <v>1489</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1506</v>
      </c>
      <c r="C75" s="386">
        <f ca="1">ROUND(C13*C76,0)</f>
        <v>0</v>
      </c>
      <c r="D75" s="1838"/>
      <c r="E75" s="1838"/>
      <c r="F75" s="1838"/>
      <c r="K75" s="1864"/>
      <c r="L75" s="1838"/>
      <c r="O75" s="1880" t="s">
        <v>1046</v>
      </c>
      <c r="P75" s="1881" t="s">
        <v>1549</v>
      </c>
      <c r="Q75" s="1882" t="e">
        <f ca="1">Q65+Q66</f>
        <v>#DIV/0!</v>
      </c>
      <c r="R75" s="1882" t="s">
        <v>1047</v>
      </c>
    </row>
    <row r="76" spans="1:18">
      <c r="B76" s="387" t="s">
        <v>1507</v>
      </c>
      <c r="C76" s="388">
        <f ca="1">INDIRECT("'数据-取费表'!j"&amp;$G$1)</f>
        <v>0</v>
      </c>
      <c r="I76" s="1838"/>
      <c r="J76" s="1838"/>
      <c r="K76" s="1864"/>
      <c r="L76" s="1838"/>
    </row>
    <row r="77" spans="1:18">
      <c r="B77" s="389" t="s">
        <v>1508</v>
      </c>
      <c r="C77" s="390"/>
      <c r="I77" s="1838"/>
      <c r="J77" s="1838"/>
      <c r="K77" s="1864"/>
      <c r="L77" s="1838"/>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F19" sqref="F19"/>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3" t="s">
        <v>2518</v>
      </c>
      <c r="B1" s="2554"/>
      <c r="C1" s="2554"/>
      <c r="D1" s="2554"/>
      <c r="E1" s="2555"/>
    </row>
    <row r="2" spans="1:6" ht="15.75">
      <c r="A2" s="2556" t="s">
        <v>2322</v>
      </c>
      <c r="B2" s="2557">
        <f ca="1">SUMIF(B6:B13,"&lt;&gt;#ref!",B6:B13)</f>
        <v>43134</v>
      </c>
      <c r="C2" s="2558" t="s">
        <v>2511</v>
      </c>
      <c r="D2" s="2559" t="s">
        <v>2512</v>
      </c>
      <c r="E2" s="2560">
        <f>SUM(E6:E13)</f>
        <v>42556.32</v>
      </c>
    </row>
    <row r="3" spans="1:6" ht="15.75">
      <c r="A3" s="2556" t="s">
        <v>1395</v>
      </c>
      <c r="B3" s="2557">
        <f ca="1">ROUND(B2*10000/E2,0)</f>
        <v>10136</v>
      </c>
      <c r="C3" s="2558" t="s">
        <v>2519</v>
      </c>
      <c r="D3" s="2561"/>
      <c r="E3" s="2562"/>
    </row>
    <row r="4" spans="1:6" ht="15.75">
      <c r="A4" s="2563"/>
      <c r="B4" s="2561"/>
      <c r="C4" s="2561"/>
      <c r="D4" s="2561"/>
      <c r="E4" s="2562"/>
    </row>
    <row r="5" spans="1:6" ht="15">
      <c r="A5" s="2564" t="s">
        <v>2513</v>
      </c>
      <c r="B5" s="3242" t="s">
        <v>2514</v>
      </c>
      <c r="C5" s="3242"/>
      <c r="D5" s="2565"/>
      <c r="E5" s="2566" t="s">
        <v>2515</v>
      </c>
      <c r="F5" s="2567" t="s">
        <v>2516</v>
      </c>
    </row>
    <row r="6" spans="1:6">
      <c r="A6" s="2568">
        <f>'数据-取费表'!AN6</f>
        <v>0</v>
      </c>
      <c r="B6" s="2567" t="e">
        <f ca="1">IF(F6="是",'数据-取费表'!AO6,0)</f>
        <v>#REF!</v>
      </c>
      <c r="C6" s="2558" t="s">
        <v>2511</v>
      </c>
      <c r="D6" s="2561"/>
      <c r="E6" s="2569">
        <f>IF(OR(A6=0,F6="否"),0,'数据-取费表'!K6+'数据-取费表'!S6)</f>
        <v>0</v>
      </c>
      <c r="F6" s="2570" t="s">
        <v>2517</v>
      </c>
    </row>
    <row r="7" spans="1:6">
      <c r="A7" s="2568" t="str">
        <f>'数据-取费表'!AN7</f>
        <v>收益法（独立商业）</v>
      </c>
      <c r="B7" s="2567">
        <f ca="1">IF(F7="是",'数据-取费表'!AO7,0)</f>
        <v>19386</v>
      </c>
      <c r="C7" s="2558" t="s">
        <v>2511</v>
      </c>
      <c r="D7" s="2561"/>
      <c r="E7" s="2569">
        <f>IF(OR(A7=0,F7="否"),0,'数据-取费表'!K7+'数据-取费表'!S7)</f>
        <v>11232.150000000001</v>
      </c>
      <c r="F7" s="2570" t="s">
        <v>2517</v>
      </c>
    </row>
    <row r="8" spans="1:6">
      <c r="A8" s="2568" t="str">
        <f>'数据-取费表'!AN8</f>
        <v>收益法（底商）</v>
      </c>
      <c r="B8" s="2567">
        <f ca="1">IF(F8="是",'数据-取费表'!AO8,0)</f>
        <v>13577</v>
      </c>
      <c r="C8" s="2558" t="s">
        <v>2511</v>
      </c>
      <c r="D8" s="2561"/>
      <c r="E8" s="2569">
        <f>IF(OR(A8=0,F8="否"),0,'数据-取费表'!K8+'数据-取费表'!S8)</f>
        <v>5171.6400000000003</v>
      </c>
      <c r="F8" s="2570" t="s">
        <v>2517</v>
      </c>
    </row>
    <row r="9" spans="1:6">
      <c r="A9" s="2568" t="str">
        <f>'数据-取费表'!AN9</f>
        <v>收益法（地下车库）</v>
      </c>
      <c r="B9" s="2567">
        <f ca="1">IF(F9="是",'数据-取费表'!AO9,0)</f>
        <v>10171</v>
      </c>
      <c r="C9" s="2558" t="s">
        <v>2511</v>
      </c>
      <c r="D9" s="2561"/>
      <c r="E9" s="2569">
        <f>IF(OR(A9=0,F9="否"),0,'数据-取费表'!K9+'数据-取费表'!S9)</f>
        <v>26152.53</v>
      </c>
      <c r="F9" s="2570" t="s">
        <v>2517</v>
      </c>
    </row>
    <row r="10" spans="1:6">
      <c r="A10" s="2568">
        <f>'数据-取费表'!AN10</f>
        <v>0</v>
      </c>
      <c r="B10" s="2567" t="e">
        <f ca="1">IF(F10="是",'数据-取费表'!AO10,0)</f>
        <v>#REF!</v>
      </c>
      <c r="C10" s="2558" t="s">
        <v>2511</v>
      </c>
      <c r="D10" s="2561"/>
      <c r="E10" s="2569">
        <f>IF(OR(A10=0,F10="否"),0,'数据-取费表'!K10+'数据-取费表'!S10)</f>
        <v>0</v>
      </c>
      <c r="F10" s="2570" t="s">
        <v>2517</v>
      </c>
    </row>
    <row r="11" spans="1:6">
      <c r="A11" s="2568">
        <f>'数据-取费表'!AN11</f>
        <v>0</v>
      </c>
      <c r="B11" s="2567" t="e">
        <f ca="1">IF(F11="是",'数据-取费表'!AO11,0)</f>
        <v>#REF!</v>
      </c>
      <c r="C11" s="2558" t="s">
        <v>2511</v>
      </c>
      <c r="D11" s="2561"/>
      <c r="E11" s="2569">
        <f>IF(OR(A11=0,F11="否"),0,'数据-取费表'!K11+'数据-取费表'!S11)</f>
        <v>0</v>
      </c>
      <c r="F11" s="2570" t="s">
        <v>2517</v>
      </c>
    </row>
    <row r="12" spans="1:6">
      <c r="A12" s="2568">
        <f>'数据-取费表'!AN12</f>
        <v>0</v>
      </c>
      <c r="B12" s="2567" t="e">
        <f ca="1">IF(F12="是",'数据-取费表'!AO12,0)</f>
        <v>#REF!</v>
      </c>
      <c r="C12" s="2558" t="s">
        <v>2511</v>
      </c>
      <c r="D12" s="2561"/>
      <c r="E12" s="2569">
        <f>IF(OR(A12=0,F12="否"),0,'数据-取费表'!K12+'数据-取费表'!S12)</f>
        <v>0</v>
      </c>
      <c r="F12" s="2570" t="s">
        <v>2517</v>
      </c>
    </row>
    <row r="13" spans="1:6" ht="15" thickBot="1">
      <c r="A13" s="2571">
        <f>'数据-取费表'!AN13</f>
        <v>0</v>
      </c>
      <c r="B13" s="2567" t="e">
        <f ca="1">IF(F13="是",'数据-取费表'!AO13,0)</f>
        <v>#REF!</v>
      </c>
      <c r="C13" s="2572" t="s">
        <v>2511</v>
      </c>
      <c r="D13" s="2573"/>
      <c r="E13" s="2569">
        <f>IF(OR(A13=0,F13="否"),0,'数据-取费表'!K13+'数据-取费表'!S13)</f>
        <v>0</v>
      </c>
      <c r="F13" s="257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59" t="s">
        <v>1076</v>
      </c>
      <c r="B1" s="3260"/>
      <c r="C1" s="3261"/>
      <c r="D1" s="3262">
        <f>SUM(I10,I15,I20,I21,I23)</f>
        <v>0</v>
      </c>
      <c r="E1" s="3262"/>
      <c r="F1" s="3262"/>
      <c r="G1" s="3262"/>
      <c r="H1" s="3262"/>
      <c r="I1" s="3263"/>
    </row>
    <row r="2" spans="1:9">
      <c r="A2" s="3249" t="s">
        <v>1077</v>
      </c>
      <c r="B2" s="3250" t="s">
        <v>1078</v>
      </c>
      <c r="C2" s="3250"/>
      <c r="D2" s="1299" t="s">
        <v>1079</v>
      </c>
      <c r="E2" s="1299" t="s">
        <v>1080</v>
      </c>
      <c r="F2" s="1299" t="s">
        <v>1081</v>
      </c>
      <c r="G2" s="1299" t="s">
        <v>1082</v>
      </c>
      <c r="H2" s="1299" t="s">
        <v>1083</v>
      </c>
      <c r="I2" s="1300" t="s">
        <v>1084</v>
      </c>
    </row>
    <row r="3" spans="1:9">
      <c r="A3" s="3249"/>
      <c r="B3" s="3250" t="s">
        <v>1085</v>
      </c>
      <c r="C3" s="3250"/>
      <c r="D3" s="1301"/>
      <c r="E3" s="1299"/>
      <c r="F3" s="1302"/>
      <c r="G3" s="1302"/>
      <c r="H3" s="1303"/>
      <c r="I3" s="1304">
        <f>ROUND(D3*E3*F3*G3*H3/10000,0)</f>
        <v>0</v>
      </c>
    </row>
    <row r="4" spans="1:9">
      <c r="A4" s="3249"/>
      <c r="B4" s="3250" t="s">
        <v>1086</v>
      </c>
      <c r="C4" s="3250"/>
      <c r="D4" s="1301"/>
      <c r="E4" s="1299"/>
      <c r="F4" s="1302"/>
      <c r="G4" s="1302"/>
      <c r="H4" s="1303"/>
      <c r="I4" s="1304">
        <f t="shared" ref="I4:I9" si="0">ROUND(D4*E4*F4*G4*H4/10000,0)</f>
        <v>0</v>
      </c>
    </row>
    <row r="5" spans="1:9">
      <c r="A5" s="3249"/>
      <c r="B5" s="3250" t="s">
        <v>1087</v>
      </c>
      <c r="C5" s="3250"/>
      <c r="D5" s="1301"/>
      <c r="E5" s="1299"/>
      <c r="F5" s="1302"/>
      <c r="G5" s="1302"/>
      <c r="H5" s="1303"/>
      <c r="I5" s="1304">
        <f t="shared" si="0"/>
        <v>0</v>
      </c>
    </row>
    <row r="6" spans="1:9">
      <c r="A6" s="3249"/>
      <c r="B6" s="3250" t="s">
        <v>1088</v>
      </c>
      <c r="C6" s="3250"/>
      <c r="D6" s="1301"/>
      <c r="E6" s="1299"/>
      <c r="F6" s="1302"/>
      <c r="G6" s="1302"/>
      <c r="H6" s="1303"/>
      <c r="I6" s="1304">
        <f t="shared" si="0"/>
        <v>0</v>
      </c>
    </row>
    <row r="7" spans="1:9">
      <c r="A7" s="3249"/>
      <c r="B7" s="3250" t="s">
        <v>1089</v>
      </c>
      <c r="C7" s="3250"/>
      <c r="D7" s="1301"/>
      <c r="E7" s="1299"/>
      <c r="F7" s="1302"/>
      <c r="G7" s="1302"/>
      <c r="H7" s="1303"/>
      <c r="I7" s="1304">
        <f t="shared" si="0"/>
        <v>0</v>
      </c>
    </row>
    <row r="8" spans="1:9">
      <c r="A8" s="3249"/>
      <c r="B8" s="3250" t="s">
        <v>1090</v>
      </c>
      <c r="C8" s="3250"/>
      <c r="D8" s="1301"/>
      <c r="E8" s="1299"/>
      <c r="F8" s="1302"/>
      <c r="G8" s="1302"/>
      <c r="H8" s="1303"/>
      <c r="I8" s="1304">
        <f t="shared" si="0"/>
        <v>0</v>
      </c>
    </row>
    <row r="9" spans="1:9">
      <c r="A9" s="3249"/>
      <c r="B9" s="3250" t="s">
        <v>1091</v>
      </c>
      <c r="C9" s="3250"/>
      <c r="D9" s="1301"/>
      <c r="E9" s="1299"/>
      <c r="F9" s="1302"/>
      <c r="G9" s="1302"/>
      <c r="H9" s="1303"/>
      <c r="I9" s="1304">
        <f t="shared" si="0"/>
        <v>0</v>
      </c>
    </row>
    <row r="10" spans="1:9">
      <c r="A10" s="3249"/>
      <c r="B10" s="3251" t="s">
        <v>1092</v>
      </c>
      <c r="C10" s="3251"/>
      <c r="D10" s="1305"/>
      <c r="E10" s="1305" t="e">
        <f>ROUND(D1*10000/D10/H9,0)</f>
        <v>#DIV/0!</v>
      </c>
      <c r="F10" s="1306"/>
      <c r="G10" s="1306"/>
      <c r="H10" s="1307"/>
      <c r="I10" s="1308">
        <f>SUM(I3:I9)</f>
        <v>0</v>
      </c>
    </row>
    <row r="11" spans="1:9" ht="14.25">
      <c r="A11" s="3249" t="s">
        <v>1093</v>
      </c>
      <c r="B11" s="3250" t="s">
        <v>1094</v>
      </c>
      <c r="C11" s="3250"/>
      <c r="D11" s="1301" t="s">
        <v>1095</v>
      </c>
      <c r="E11" s="1301" t="s">
        <v>1096</v>
      </c>
      <c r="F11" s="1302" t="s">
        <v>1097</v>
      </c>
      <c r="G11" s="1302" t="s">
        <v>1083</v>
      </c>
      <c r="H11" s="1309" t="s">
        <v>1098</v>
      </c>
      <c r="I11" s="1300" t="s">
        <v>1084</v>
      </c>
    </row>
    <row r="12" spans="1:9">
      <c r="A12" s="3249"/>
      <c r="B12" s="3250" t="s">
        <v>1099</v>
      </c>
      <c r="C12" s="3250"/>
      <c r="D12" s="1301"/>
      <c r="E12" s="1301"/>
      <c r="F12" s="1302"/>
      <c r="G12" s="1303"/>
      <c r="H12" s="1310"/>
      <c r="I12" s="1300">
        <f>ROUND(D12*E12*F12*G12/10000,0)</f>
        <v>0</v>
      </c>
    </row>
    <row r="13" spans="1:9">
      <c r="A13" s="3249"/>
      <c r="B13" s="3250" t="s">
        <v>1100</v>
      </c>
      <c r="C13" s="3250"/>
      <c r="D13" s="1301"/>
      <c r="E13" s="1301"/>
      <c r="F13" s="1302"/>
      <c r="G13" s="1303"/>
      <c r="H13" s="1310"/>
      <c r="I13" s="1300">
        <f>ROUND(D13*E13*F13*G13/10000,0)</f>
        <v>0</v>
      </c>
    </row>
    <row r="14" spans="1:9">
      <c r="A14" s="3249"/>
      <c r="B14" s="3250" t="s">
        <v>1101</v>
      </c>
      <c r="C14" s="3250"/>
      <c r="D14" s="1301"/>
      <c r="E14" s="1301"/>
      <c r="F14" s="1302"/>
      <c r="G14" s="1303"/>
      <c r="H14" s="1310"/>
      <c r="I14" s="1300">
        <f>ROUND(D14*E14*F14*G14/10000,0)</f>
        <v>0</v>
      </c>
    </row>
    <row r="15" spans="1:9">
      <c r="A15" s="3249"/>
      <c r="B15" s="3251" t="s">
        <v>1092</v>
      </c>
      <c r="C15" s="3251"/>
      <c r="D15" s="1305"/>
      <c r="E15" s="1305">
        <f>SUM(E12:E14)</f>
        <v>0</v>
      </c>
      <c r="F15" s="1306"/>
      <c r="G15" s="1303"/>
      <c r="H15" s="1310"/>
      <c r="I15" s="1311">
        <f>SUM(I12:I14)</f>
        <v>0</v>
      </c>
    </row>
    <row r="16" spans="1:9" ht="24">
      <c r="A16" s="3249" t="s">
        <v>1102</v>
      </c>
      <c r="B16" s="3250" t="s">
        <v>1103</v>
      </c>
      <c r="C16" s="3250"/>
      <c r="D16" s="1301" t="s">
        <v>1079</v>
      </c>
      <c r="E16" s="1312" t="s">
        <v>1104</v>
      </c>
      <c r="F16" s="1302" t="s">
        <v>1105</v>
      </c>
      <c r="G16" s="1303" t="s">
        <v>1083</v>
      </c>
      <c r="H16" s="1309" t="s">
        <v>1098</v>
      </c>
      <c r="I16" s="1300" t="s">
        <v>1084</v>
      </c>
    </row>
    <row r="17" spans="1:9" ht="14.25">
      <c r="A17" s="3249"/>
      <c r="B17" s="3250" t="s">
        <v>1106</v>
      </c>
      <c r="C17" s="3250"/>
      <c r="D17" s="1301"/>
      <c r="E17" s="1301"/>
      <c r="F17" s="1302"/>
      <c r="G17" s="1303"/>
      <c r="H17" s="1313"/>
      <c r="I17" s="1314">
        <f>ROUND(D17*E17*F17*G17/10000,0)</f>
        <v>0</v>
      </c>
    </row>
    <row r="18" spans="1:9" ht="14.25">
      <c r="A18" s="3249"/>
      <c r="B18" s="3250" t="s">
        <v>1107</v>
      </c>
      <c r="C18" s="3250"/>
      <c r="D18" s="1301"/>
      <c r="E18" s="1301"/>
      <c r="F18" s="1302"/>
      <c r="G18" s="1303"/>
      <c r="H18" s="1313"/>
      <c r="I18" s="1314">
        <f>ROUND(D18*E18*F18*G18/10000,0)</f>
        <v>0</v>
      </c>
    </row>
    <row r="19" spans="1:9" ht="14.25">
      <c r="A19" s="3249"/>
      <c r="B19" s="3250" t="s">
        <v>1108</v>
      </c>
      <c r="C19" s="3250"/>
      <c r="D19" s="1301"/>
      <c r="E19" s="1301"/>
      <c r="F19" s="1302"/>
      <c r="G19" s="1303"/>
      <c r="H19" s="1313"/>
      <c r="I19" s="1314">
        <f>ROUND(D19*E19*F19*G19/10000,0)</f>
        <v>0</v>
      </c>
    </row>
    <row r="20" spans="1:9">
      <c r="A20" s="3249"/>
      <c r="B20" s="3251" t="s">
        <v>1092</v>
      </c>
      <c r="C20" s="3251"/>
      <c r="D20" s="1305">
        <f>SUM(D17:D19)</f>
        <v>0</v>
      </c>
      <c r="E20" s="1305"/>
      <c r="F20" s="1306"/>
      <c r="G20" s="1303"/>
      <c r="H20" s="1310"/>
      <c r="I20" s="1311">
        <f>SUM(I17:I19)</f>
        <v>0</v>
      </c>
    </row>
    <row r="21" spans="1:9">
      <c r="A21" s="3249" t="s">
        <v>1109</v>
      </c>
      <c r="B21" s="3252"/>
      <c r="C21" s="3252"/>
      <c r="D21" s="3252"/>
      <c r="E21" s="3252"/>
      <c r="F21" s="3252"/>
      <c r="G21" s="3252"/>
      <c r="H21" s="1761">
        <v>0.1</v>
      </c>
      <c r="I21" s="1308">
        <f>ROUND(I10*H21,0)</f>
        <v>0</v>
      </c>
    </row>
    <row r="22" spans="1:9" ht="14.25">
      <c r="A22" s="3253" t="s">
        <v>1110</v>
      </c>
      <c r="B22" s="3254"/>
      <c r="C22" s="3255"/>
      <c r="D22" s="1315" t="s">
        <v>1111</v>
      </c>
      <c r="E22" s="1315" t="s">
        <v>1112</v>
      </c>
      <c r="F22" s="1316" t="s">
        <v>1113</v>
      </c>
      <c r="G22" s="1316" t="s">
        <v>1114</v>
      </c>
      <c r="H22" s="1309" t="s">
        <v>1115</v>
      </c>
      <c r="I22" s="1300" t="s">
        <v>1116</v>
      </c>
    </row>
    <row r="23" spans="1:9" ht="14.25" thickBot="1">
      <c r="A23" s="3256"/>
      <c r="B23" s="3257"/>
      <c r="C23" s="3258"/>
      <c r="D23" s="1317"/>
      <c r="E23" s="1317"/>
      <c r="F23" s="1317"/>
      <c r="G23" s="1318"/>
      <c r="H23" s="1319"/>
      <c r="I23" s="1320">
        <f>ROUND(E23*D23*F23*(1-G23)/10000,0)</f>
        <v>0</v>
      </c>
    </row>
    <row r="26" spans="1:9">
      <c r="A26" s="1321" t="s">
        <v>1117</v>
      </c>
      <c r="B26" s="1321"/>
      <c r="C26" s="1321"/>
      <c r="D26" s="1321"/>
      <c r="E26" s="3246">
        <f>C27-C30-C31-C32</f>
        <v>0</v>
      </c>
      <c r="F26" s="3246"/>
      <c r="G26" s="3246"/>
      <c r="H26" s="1733" t="s">
        <v>1340</v>
      </c>
    </row>
    <row r="27" spans="1:9">
      <c r="A27" s="1322">
        <v>1</v>
      </c>
      <c r="B27" s="1323" t="s">
        <v>1118</v>
      </c>
      <c r="C27" s="1323">
        <f>C28+C29</f>
        <v>0</v>
      </c>
      <c r="D27" s="1323"/>
      <c r="E27" s="3247"/>
      <c r="F27" s="3247"/>
      <c r="G27" s="3247"/>
    </row>
    <row r="28" spans="1:9">
      <c r="A28" s="1324" t="s">
        <v>1119</v>
      </c>
      <c r="B28" s="1323" t="s">
        <v>1120</v>
      </c>
      <c r="C28" s="1323"/>
      <c r="D28" s="1323"/>
      <c r="E28" s="3247"/>
      <c r="F28" s="3247"/>
      <c r="G28" s="3247"/>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8"/>
      <c r="F32" s="3248"/>
      <c r="G32" s="3248"/>
    </row>
    <row r="33" spans="1:7" hidden="1">
      <c r="A33" s="3243" t="s">
        <v>1129</v>
      </c>
      <c r="B33" s="3244"/>
      <c r="C33" s="3244"/>
      <c r="D33" s="3245"/>
      <c r="E33" s="3246"/>
      <c r="F33" s="3246"/>
      <c r="G33" s="3246"/>
    </row>
    <row r="34" spans="1:7" hidden="1">
      <c r="A34" s="1326">
        <v>1</v>
      </c>
      <c r="B34" s="1323" t="s">
        <v>1130</v>
      </c>
      <c r="C34" s="1323"/>
      <c r="D34" s="1323"/>
      <c r="E34" s="3247"/>
      <c r="F34" s="3247"/>
      <c r="G34" s="3247"/>
    </row>
    <row r="35" spans="1:7" hidden="1">
      <c r="A35" s="1326">
        <v>2</v>
      </c>
      <c r="B35" s="1323" t="s">
        <v>1131</v>
      </c>
      <c r="C35" s="1323"/>
      <c r="D35" s="1323"/>
      <c r="E35" s="3247"/>
      <c r="F35" s="3247"/>
      <c r="G35" s="3247"/>
    </row>
    <row r="36" spans="1:7" hidden="1">
      <c r="A36" s="1326">
        <v>3</v>
      </c>
      <c r="B36" s="1323" t="s">
        <v>1132</v>
      </c>
      <c r="C36" s="1323"/>
      <c r="D36" s="1323"/>
      <c r="E36" s="3247"/>
      <c r="F36" s="3247"/>
      <c r="G36" s="3247"/>
    </row>
    <row r="37" spans="1:7" hidden="1">
      <c r="A37" s="1326">
        <v>4</v>
      </c>
      <c r="B37" s="1323" t="s">
        <v>1133</v>
      </c>
      <c r="C37" s="1323"/>
      <c r="D37" s="1323"/>
      <c r="E37" s="3247"/>
      <c r="F37" s="3247"/>
      <c r="G37" s="3247"/>
    </row>
    <row r="38" spans="1:7" hidden="1">
      <c r="A38" s="3243" t="s">
        <v>1134</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sqref="A1:XFD1048576"/>
    </sheetView>
  </sheetViews>
  <sheetFormatPr defaultColWidth="8.875" defaultRowHeight="14.25"/>
  <cols>
    <col min="1" max="1" width="10.5" style="402" customWidth="1"/>
    <col min="2" max="2" width="15.625" style="402" customWidth="1"/>
    <col min="3" max="3" width="15.1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2614"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574" t="s">
        <v>2634</v>
      </c>
      <c r="C1" s="1630" t="s">
        <v>2522</v>
      </c>
      <c r="D1" s="1617"/>
      <c r="E1" s="2647"/>
      <c r="F1" s="2576"/>
      <c r="G1" s="1627" t="s">
        <v>2635</v>
      </c>
      <c r="H1" s="1626"/>
      <c r="I1" s="1626"/>
      <c r="J1" s="1626"/>
      <c r="K1" s="1628"/>
      <c r="L1" s="1629"/>
      <c r="M1" s="1630"/>
      <c r="N1" s="1630"/>
      <c r="O1" s="1630"/>
      <c r="P1" s="2648"/>
      <c r="Q1" s="2649"/>
      <c r="R1" s="2649"/>
      <c r="S1" s="2649"/>
      <c r="T1" s="2649"/>
      <c r="U1" s="2649"/>
      <c r="V1" s="2649"/>
      <c r="W1" s="2649"/>
      <c r="X1" s="2649"/>
      <c r="Y1" s="2649"/>
      <c r="Z1" s="2649"/>
      <c r="AA1" s="2649"/>
      <c r="AB1" s="2649"/>
      <c r="AC1" s="2650"/>
    </row>
    <row r="2" spans="1:29" s="397" customFormat="1" ht="28.5" customHeight="1" thickTop="1">
      <c r="A2" s="1613" t="s">
        <v>2322</v>
      </c>
      <c r="B2" s="1415" t="e">
        <f ca="1">IF(C2="——",ROUND(C49*D3/10000,0),ROUND(C49*D3/10000,0)-D2)</f>
        <v>#DIV/0!</v>
      </c>
      <c r="C2" s="2578"/>
      <c r="D2" s="1363" t="e">
        <f ca="1">SUMIF(INDIRECT("'"&amp;F2&amp;"'"&amp;"!A:A"),"承租人权益价值",INDIRECT("'"&amp;F2&amp;"'"&amp;"!c:c"))</f>
        <v>#REF!</v>
      </c>
      <c r="E2" s="2579" t="s">
        <v>2323</v>
      </c>
      <c r="F2" s="2580"/>
      <c r="G2" s="1123"/>
      <c r="H2" s="1123"/>
      <c r="I2" s="1123"/>
      <c r="J2" s="1123"/>
      <c r="K2" s="1123"/>
      <c r="L2" s="1126"/>
      <c r="M2" s="1127"/>
      <c r="N2" s="1127"/>
      <c r="O2" s="1127"/>
      <c r="P2" s="2651"/>
      <c r="Q2" s="1127"/>
      <c r="R2" s="1127"/>
      <c r="S2" s="1127"/>
      <c r="T2" s="1127"/>
      <c r="U2" s="1127"/>
      <c r="V2" s="1127"/>
      <c r="W2" s="1127"/>
      <c r="X2" s="1127"/>
      <c r="Y2" s="1127"/>
      <c r="Z2" s="1127"/>
      <c r="AA2" s="1127"/>
      <c r="AB2" s="1127"/>
      <c r="AC2" s="2652"/>
    </row>
    <row r="3" spans="1:29" s="397" customFormat="1" ht="28.5" customHeight="1" thickBot="1">
      <c r="A3" s="246" t="s">
        <v>2324</v>
      </c>
      <c r="B3" s="608" t="e">
        <f ca="1">IF(C2="——",C49,ROUND(B2*10000/D3,0))</f>
        <v>#DIV/0!</v>
      </c>
      <c r="C3" s="399" t="s">
        <v>2636</v>
      </c>
      <c r="D3" s="398">
        <f>IF(D1="",'数据-汇总表'!E3,SUMIF('数据-汇总表'!$C19:$C33,D1,'数据-汇总表'!$E19:$E33))</f>
        <v>135929.18</v>
      </c>
      <c r="E3" s="2653"/>
      <c r="F3" s="1124"/>
      <c r="G3" s="1123"/>
      <c r="H3" s="1123"/>
      <c r="I3" s="1123"/>
      <c r="J3" s="1123"/>
      <c r="K3" s="1125"/>
      <c r="L3" s="1126"/>
      <c r="M3" s="1127"/>
      <c r="N3" s="1127"/>
      <c r="O3" s="1127"/>
      <c r="P3" s="2651"/>
      <c r="Q3" s="1127"/>
      <c r="R3" s="1127"/>
      <c r="S3" s="1127"/>
      <c r="T3" s="1127"/>
      <c r="U3" s="1127"/>
      <c r="V3" s="1127"/>
      <c r="W3" s="1127"/>
      <c r="X3" s="1127"/>
      <c r="Y3" s="1127"/>
      <c r="Z3" s="1127"/>
      <c r="AA3" s="1127"/>
      <c r="AB3" s="1127"/>
      <c r="AC3" s="2653"/>
    </row>
    <row r="4" spans="1:29" ht="15">
      <c r="A4" s="400" t="s">
        <v>2637</v>
      </c>
      <c r="B4" s="401"/>
      <c r="C4" s="3187" t="s">
        <v>2638</v>
      </c>
      <c r="D4" s="3200"/>
      <c r="E4" s="3201" t="s">
        <v>2639</v>
      </c>
      <c r="F4" s="3202"/>
      <c r="G4" s="3187" t="s">
        <v>2640</v>
      </c>
      <c r="H4" s="3200"/>
      <c r="I4" s="3187" t="s">
        <v>2641</v>
      </c>
      <c r="J4" s="3200"/>
      <c r="K4" s="609" t="s">
        <v>2642</v>
      </c>
      <c r="L4" s="1128"/>
      <c r="M4" s="1129"/>
      <c r="N4" s="1129"/>
      <c r="O4" s="1129"/>
      <c r="P4" s="3203" t="s">
        <v>2643</v>
      </c>
      <c r="Q4" s="3204"/>
      <c r="R4" s="3209" t="s">
        <v>2639</v>
      </c>
      <c r="S4" s="3210"/>
      <c r="T4" s="3209" t="s">
        <v>2640</v>
      </c>
      <c r="U4" s="3210"/>
      <c r="V4" s="3196" t="s">
        <v>2641</v>
      </c>
      <c r="W4" s="3196"/>
      <c r="X4" s="1809"/>
      <c r="Y4" s="3209" t="s">
        <v>2643</v>
      </c>
      <c r="Z4" s="3210"/>
      <c r="AA4" s="3197" t="s">
        <v>2639</v>
      </c>
      <c r="AB4" s="3196" t="s">
        <v>2640</v>
      </c>
      <c r="AC4" s="3197" t="s">
        <v>2641</v>
      </c>
    </row>
    <row r="5" spans="1:29" ht="15">
      <c r="A5" s="403"/>
      <c r="B5" s="404"/>
      <c r="C5" s="3217" t="s">
        <v>2534</v>
      </c>
      <c r="D5" s="3218"/>
      <c r="E5" s="3224" t="s">
        <v>2535</v>
      </c>
      <c r="F5" s="3225"/>
      <c r="G5" s="3217" t="s">
        <v>2536</v>
      </c>
      <c r="H5" s="3218"/>
      <c r="I5" s="3217" t="s">
        <v>2537</v>
      </c>
      <c r="J5" s="3218"/>
      <c r="K5" s="609"/>
      <c r="L5" s="1128"/>
      <c r="M5" s="1129"/>
      <c r="N5" s="1129"/>
      <c r="O5" s="1129"/>
      <c r="P5" s="3205"/>
      <c r="Q5" s="3206"/>
      <c r="R5" s="3211"/>
      <c r="S5" s="3212"/>
      <c r="T5" s="3211"/>
      <c r="U5" s="3212"/>
      <c r="V5" s="3196"/>
      <c r="W5" s="3196"/>
      <c r="X5" s="1809"/>
      <c r="Y5" s="3211"/>
      <c r="Z5" s="3212"/>
      <c r="AA5" s="3198"/>
      <c r="AB5" s="3196"/>
      <c r="AC5" s="3198"/>
    </row>
    <row r="6" spans="1:29" ht="15.75" thickBot="1">
      <c r="A6" s="405"/>
      <c r="B6" s="406"/>
      <c r="C6" s="3215" t="s">
        <v>2538</v>
      </c>
      <c r="D6" s="3216"/>
      <c r="E6" s="3222" t="s">
        <v>2538</v>
      </c>
      <c r="F6" s="3223"/>
      <c r="G6" s="3215" t="s">
        <v>2538</v>
      </c>
      <c r="H6" s="3216"/>
      <c r="I6" s="3215" t="s">
        <v>2538</v>
      </c>
      <c r="J6" s="3216"/>
      <c r="K6" s="609" t="s">
        <v>2539</v>
      </c>
      <c r="L6" s="1128"/>
      <c r="M6" s="1129"/>
      <c r="N6" s="1129"/>
      <c r="O6" s="1129"/>
      <c r="P6" s="3207"/>
      <c r="Q6" s="3208"/>
      <c r="R6" s="3211"/>
      <c r="S6" s="3212"/>
      <c r="T6" s="3213"/>
      <c r="U6" s="3214"/>
      <c r="V6" s="3196"/>
      <c r="W6" s="3196"/>
      <c r="X6" s="1809"/>
      <c r="Y6" s="3213"/>
      <c r="Z6" s="3214"/>
      <c r="AA6" s="3199"/>
      <c r="AB6" s="3196"/>
      <c r="AC6" s="3199"/>
    </row>
    <row r="7" spans="1:29" s="116" customFormat="1" ht="15.75" thickBot="1">
      <c r="A7" s="407" t="s">
        <v>2540</v>
      </c>
      <c r="B7" s="408"/>
      <c r="C7" s="409">
        <f>'数据-取费表'!B2</f>
        <v>43424</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19" t="s">
        <v>2541</v>
      </c>
      <c r="Q7" s="3221"/>
      <c r="R7" s="769" t="s">
        <v>17</v>
      </c>
      <c r="S7" s="770">
        <f t="shared" ref="S7:S15" si="0">F7</f>
        <v>0</v>
      </c>
      <c r="T7" s="769" t="s">
        <v>17</v>
      </c>
      <c r="U7" s="770">
        <f t="shared" ref="U7:U15" si="1">H7</f>
        <v>0</v>
      </c>
      <c r="V7" s="769" t="s">
        <v>17</v>
      </c>
      <c r="W7" s="770">
        <f t="shared" ref="W7:W15" si="2">J7</f>
        <v>0</v>
      </c>
      <c r="X7" s="771"/>
      <c r="Y7" s="3219" t="s">
        <v>2541</v>
      </c>
      <c r="Z7" s="3220"/>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19" t="s">
        <v>2544</v>
      </c>
      <c r="Q8" s="3220"/>
      <c r="R8" s="769" t="s">
        <v>17</v>
      </c>
      <c r="S8" s="770">
        <f t="shared" si="0"/>
        <v>0</v>
      </c>
      <c r="T8" s="769" t="s">
        <v>17</v>
      </c>
      <c r="U8" s="770">
        <f t="shared" si="1"/>
        <v>0</v>
      </c>
      <c r="V8" s="769" t="s">
        <v>17</v>
      </c>
      <c r="W8" s="770">
        <f t="shared" si="2"/>
        <v>0</v>
      </c>
      <c r="X8" s="771"/>
      <c r="Y8" s="3219" t="s">
        <v>2544</v>
      </c>
      <c r="Z8" s="3220"/>
      <c r="AA8" s="772" t="e">
        <f t="shared" ref="AA8:AA46" si="3">D8/F8</f>
        <v>#DIV/0!</v>
      </c>
      <c r="AB8" s="772" t="e">
        <f t="shared" ref="AB8:AB46" si="4">D8/H8</f>
        <v>#DIV/0!</v>
      </c>
      <c r="AC8" s="772" t="e">
        <f t="shared" ref="AC8:AC46" si="5">D8/J8</f>
        <v>#DIV/0!</v>
      </c>
    </row>
    <row r="9" spans="1:29" s="116"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189" t="s">
        <v>2547</v>
      </c>
      <c r="Q9" s="1791" t="str">
        <f t="shared" ref="Q9:Q15" si="6">B9</f>
        <v>用途</v>
      </c>
      <c r="R9" s="769" t="s">
        <v>17</v>
      </c>
      <c r="S9" s="770">
        <f t="shared" si="0"/>
        <v>100</v>
      </c>
      <c r="T9" s="769" t="s">
        <v>17</v>
      </c>
      <c r="U9" s="770">
        <f t="shared" si="1"/>
        <v>100</v>
      </c>
      <c r="V9" s="769" t="s">
        <v>17</v>
      </c>
      <c r="W9" s="770">
        <f t="shared" si="2"/>
        <v>100</v>
      </c>
      <c r="X9" s="771"/>
      <c r="Y9" s="3033"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189"/>
      <c r="Q10" s="1791"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189"/>
      <c r="Q11" s="1791"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6"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89"/>
      <c r="Q12" s="1791">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89"/>
      <c r="Q13" s="1791">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89"/>
      <c r="Q14" s="1791">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2551</v>
      </c>
      <c r="B15" s="69" t="s">
        <v>2645</v>
      </c>
      <c r="C15" s="259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3" t="s">
        <v>2552</v>
      </c>
      <c r="Q15" s="1806" t="str">
        <f t="shared" si="6"/>
        <v>商业繁华度</v>
      </c>
      <c r="R15" s="773" t="s">
        <v>17</v>
      </c>
      <c r="S15" s="774">
        <f t="shared" si="0"/>
        <v>100</v>
      </c>
      <c r="T15" s="773" t="s">
        <v>17</v>
      </c>
      <c r="U15" s="774">
        <f t="shared" si="1"/>
        <v>100</v>
      </c>
      <c r="V15" s="773" t="s">
        <v>17</v>
      </c>
      <c r="W15" s="774">
        <f t="shared" si="2"/>
        <v>100</v>
      </c>
      <c r="X15" s="1809"/>
      <c r="Y15" s="3192" t="s">
        <v>2552</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29"/>
      <c r="P16" s="3234"/>
      <c r="Q16" s="1806"/>
      <c r="R16" s="773"/>
      <c r="S16" s="774"/>
      <c r="T16" s="773"/>
      <c r="U16" s="774"/>
      <c r="V16" s="773"/>
      <c r="W16" s="774"/>
      <c r="X16" s="1809"/>
      <c r="Y16" s="3193"/>
      <c r="Z16" s="1810"/>
      <c r="AA16" s="1807">
        <v>1</v>
      </c>
      <c r="AB16" s="1807">
        <v>1</v>
      </c>
      <c r="AC16" s="1807">
        <v>1</v>
      </c>
    </row>
    <row r="17" spans="1:29" ht="85.5">
      <c r="A17" s="427"/>
      <c r="B17" s="450" t="s">
        <v>2093</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4"/>
      <c r="Q17" s="1806" t="str">
        <f>B17</f>
        <v>交通便捷度</v>
      </c>
      <c r="R17" s="773" t="s">
        <v>17</v>
      </c>
      <c r="S17" s="774">
        <f>F17</f>
        <v>100</v>
      </c>
      <c r="T17" s="773" t="s">
        <v>17</v>
      </c>
      <c r="U17" s="774">
        <f>H17</f>
        <v>100</v>
      </c>
      <c r="V17" s="773" t="s">
        <v>17</v>
      </c>
      <c r="W17" s="774">
        <f>J17</f>
        <v>100</v>
      </c>
      <c r="X17" s="1809"/>
      <c r="Y17" s="3193"/>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8"/>
      <c r="M18" s="1129"/>
      <c r="N18" s="1129"/>
      <c r="O18" s="1129"/>
      <c r="P18" s="3234"/>
      <c r="Q18" s="1806"/>
      <c r="R18" s="773"/>
      <c r="S18" s="774"/>
      <c r="T18" s="773"/>
      <c r="U18" s="774"/>
      <c r="V18" s="773"/>
      <c r="W18" s="774"/>
      <c r="X18" s="1809"/>
      <c r="Y18" s="3193"/>
      <c r="Z18" s="1810"/>
      <c r="AA18" s="1807">
        <v>1</v>
      </c>
      <c r="AB18" s="1807">
        <v>1</v>
      </c>
      <c r="AC18" s="1807">
        <v>1</v>
      </c>
    </row>
    <row r="19" spans="1:29" ht="42.75">
      <c r="A19" s="427"/>
      <c r="B19" s="450" t="s">
        <v>2646</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4"/>
      <c r="Q19" s="1806" t="str">
        <f>B19</f>
        <v>公共配套设施</v>
      </c>
      <c r="R19" s="773" t="s">
        <v>17</v>
      </c>
      <c r="S19" s="774">
        <f>F19</f>
        <v>100</v>
      </c>
      <c r="T19" s="773" t="s">
        <v>17</v>
      </c>
      <c r="U19" s="774">
        <f>H19</f>
        <v>100</v>
      </c>
      <c r="V19" s="773" t="s">
        <v>17</v>
      </c>
      <c r="W19" s="774">
        <f>J19</f>
        <v>100</v>
      </c>
      <c r="X19" s="1809"/>
      <c r="Y19" s="3193"/>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8"/>
      <c r="M20" s="1129"/>
      <c r="N20" s="1129"/>
      <c r="O20" s="1129"/>
      <c r="P20" s="3234"/>
      <c r="Q20" s="1806"/>
      <c r="R20" s="773"/>
      <c r="S20" s="774"/>
      <c r="T20" s="773"/>
      <c r="U20" s="774"/>
      <c r="V20" s="773"/>
      <c r="W20" s="774"/>
      <c r="X20" s="1809"/>
      <c r="Y20" s="3193"/>
      <c r="Z20" s="1810"/>
      <c r="AA20" s="1807">
        <v>1</v>
      </c>
      <c r="AB20" s="1807">
        <v>1</v>
      </c>
      <c r="AC20" s="1807">
        <v>1</v>
      </c>
    </row>
    <row r="21" spans="1:29" ht="28.5">
      <c r="A21" s="427"/>
      <c r="B21" s="1382" t="s">
        <v>2647</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4"/>
      <c r="Q21" s="1806" t="str">
        <f>B21</f>
        <v>基础设施水平</v>
      </c>
      <c r="R21" s="773" t="s">
        <v>17</v>
      </c>
      <c r="S21" s="774">
        <f>F21</f>
        <v>100</v>
      </c>
      <c r="T21" s="773" t="s">
        <v>17</v>
      </c>
      <c r="U21" s="774">
        <f>H21</f>
        <v>100</v>
      </c>
      <c r="V21" s="773" t="s">
        <v>17</v>
      </c>
      <c r="W21" s="774">
        <f>J21</f>
        <v>100</v>
      </c>
      <c r="X21" s="1809"/>
      <c r="Y21" s="3193"/>
      <c r="Z21" s="1810" t="str">
        <f>Q21</f>
        <v>基础设施水平</v>
      </c>
      <c r="AA21" s="1807">
        <f t="shared" ref="AA21" si="8">D21/F21</f>
        <v>1</v>
      </c>
      <c r="AB21" s="1807">
        <f t="shared" ref="AB21" si="9">D21/H21</f>
        <v>1</v>
      </c>
      <c r="AC21" s="1807">
        <f t="shared" ref="AC21" si="10">D21/J21</f>
        <v>1</v>
      </c>
    </row>
    <row r="22" spans="1:29" ht="15">
      <c r="A22" s="427"/>
      <c r="B22" s="1382"/>
      <c r="C22" s="2600"/>
      <c r="D22" s="447"/>
      <c r="E22" s="446"/>
      <c r="F22" s="448"/>
      <c r="G22" s="446"/>
      <c r="H22" s="447"/>
      <c r="I22" s="446"/>
      <c r="J22" s="447"/>
      <c r="K22" s="1381"/>
      <c r="L22" s="1138"/>
      <c r="M22" s="1129"/>
      <c r="N22" s="1129"/>
      <c r="O22" s="1129"/>
      <c r="P22" s="3234"/>
      <c r="Q22" s="1806"/>
      <c r="R22" s="773"/>
      <c r="S22" s="774"/>
      <c r="T22" s="773"/>
      <c r="U22" s="774"/>
      <c r="V22" s="773"/>
      <c r="W22" s="774"/>
      <c r="X22" s="1809"/>
      <c r="Y22" s="3193"/>
      <c r="Z22" s="1810"/>
      <c r="AA22" s="1807">
        <v>1</v>
      </c>
      <c r="AB22" s="1807">
        <v>1</v>
      </c>
      <c r="AC22" s="1807">
        <v>1</v>
      </c>
    </row>
    <row r="23" spans="1:29" ht="57">
      <c r="A23" s="427"/>
      <c r="B23" s="450" t="s">
        <v>2098</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4"/>
      <c r="Q23" s="1806" t="str">
        <f>B23</f>
        <v>自然及人文环境</v>
      </c>
      <c r="R23" s="773" t="s">
        <v>17</v>
      </c>
      <c r="S23" s="774">
        <f>F23</f>
        <v>100</v>
      </c>
      <c r="T23" s="773" t="s">
        <v>17</v>
      </c>
      <c r="U23" s="774">
        <f>H23</f>
        <v>100</v>
      </c>
      <c r="V23" s="773" t="s">
        <v>17</v>
      </c>
      <c r="W23" s="774">
        <f>J23</f>
        <v>100</v>
      </c>
      <c r="X23" s="1809"/>
      <c r="Y23" s="3193"/>
      <c r="Z23" s="1810" t="str">
        <f>Q23</f>
        <v>自然及人文环境</v>
      </c>
      <c r="AA23" s="1807">
        <f t="shared" si="3"/>
        <v>1</v>
      </c>
      <c r="AB23" s="1807">
        <f t="shared" si="4"/>
        <v>1</v>
      </c>
      <c r="AC23" s="1807">
        <f t="shared" si="5"/>
        <v>1</v>
      </c>
    </row>
    <row r="24" spans="1:29" ht="15">
      <c r="A24" s="427"/>
      <c r="B24" s="455"/>
      <c r="C24" s="446"/>
      <c r="D24" s="447"/>
      <c r="E24" s="2597"/>
      <c r="F24" s="448"/>
      <c r="G24" s="2596"/>
      <c r="H24" s="447"/>
      <c r="I24" s="2597"/>
      <c r="J24" s="447"/>
      <c r="K24" s="614"/>
      <c r="L24" s="1138"/>
      <c r="M24" s="1129"/>
      <c r="N24" s="1129"/>
      <c r="O24" s="1129"/>
      <c r="P24" s="3234"/>
      <c r="Q24" s="1806"/>
      <c r="R24" s="773"/>
      <c r="S24" s="774"/>
      <c r="T24" s="773"/>
      <c r="U24" s="774"/>
      <c r="V24" s="773"/>
      <c r="W24" s="774"/>
      <c r="X24" s="1809"/>
      <c r="Y24" s="3193"/>
      <c r="Z24" s="1810"/>
      <c r="AA24" s="1807">
        <v>1</v>
      </c>
      <c r="AB24" s="1807">
        <v>1</v>
      </c>
      <c r="AC24" s="1807">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34"/>
      <c r="Q25" s="1806" t="str">
        <f t="shared" ref="Q25:Q46" si="11">B25</f>
        <v>临街状况</v>
      </c>
      <c r="R25" s="773" t="s">
        <v>17</v>
      </c>
      <c r="S25" s="774">
        <f>F25</f>
        <v>100</v>
      </c>
      <c r="T25" s="773" t="s">
        <v>17</v>
      </c>
      <c r="U25" s="774">
        <f>H25</f>
        <v>100</v>
      </c>
      <c r="V25" s="773" t="s">
        <v>17</v>
      </c>
      <c r="W25" s="774">
        <f>J25</f>
        <v>100</v>
      </c>
      <c r="X25" s="1809"/>
      <c r="Y25" s="3193"/>
      <c r="Z25" s="1810" t="str">
        <f>Q25</f>
        <v>临街状况</v>
      </c>
      <c r="AA25" s="1807">
        <f t="shared" si="3"/>
        <v>1</v>
      </c>
      <c r="AB25" s="1807">
        <f t="shared" si="4"/>
        <v>1</v>
      </c>
      <c r="AC25" s="1807">
        <f t="shared" si="5"/>
        <v>1</v>
      </c>
    </row>
    <row r="26" spans="1:29" ht="15">
      <c r="A26" s="427"/>
      <c r="B26" s="1384" t="s">
        <v>2649</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34"/>
      <c r="Q26" s="1806" t="str">
        <f t="shared" si="11"/>
        <v>平面位置/可视性</v>
      </c>
      <c r="R26" s="773" t="s">
        <v>17</v>
      </c>
      <c r="S26" s="774">
        <f>F26</f>
        <v>100</v>
      </c>
      <c r="T26" s="773" t="s">
        <v>17</v>
      </c>
      <c r="U26" s="774">
        <f>H26</f>
        <v>100</v>
      </c>
      <c r="V26" s="773" t="s">
        <v>17</v>
      </c>
      <c r="W26" s="774">
        <f>J26</f>
        <v>100</v>
      </c>
      <c r="X26" s="1809"/>
      <c r="Y26" s="3193"/>
      <c r="Z26" s="1810" t="str">
        <f>Q26</f>
        <v>平面位置/可视性</v>
      </c>
      <c r="AA26" s="1807">
        <f t="shared" si="3"/>
        <v>1</v>
      </c>
      <c r="AB26" s="1807">
        <f t="shared" si="4"/>
        <v>1</v>
      </c>
      <c r="AC26" s="1807">
        <f t="shared" si="5"/>
        <v>1</v>
      </c>
    </row>
    <row r="27" spans="1:29" s="116" customFormat="1" ht="15">
      <c r="A27" s="430"/>
      <c r="B27" s="450" t="s">
        <v>2650</v>
      </c>
      <c r="C27" s="2655"/>
      <c r="D27" s="461">
        <v>100</v>
      </c>
      <c r="E27" s="2655"/>
      <c r="F27" s="463">
        <f>SUMIF(90:90,E27,91:91)-SUMIF(90:90,C27,91:91)+100</f>
        <v>100</v>
      </c>
      <c r="G27" s="2655"/>
      <c r="H27" s="461">
        <f>SUMIF(90:90,G27,91:91)-SUMIF(90:90,C27,91:91)+100</f>
        <v>100</v>
      </c>
      <c r="I27" s="2655"/>
      <c r="J27" s="461">
        <f>SUMIF(90:90,I27,91:91)-SUMIF(90:90,C27,91:91)+100</f>
        <v>100</v>
      </c>
      <c r="K27" s="611"/>
      <c r="L27" s="1130"/>
      <c r="M27" s="1131"/>
      <c r="N27" s="1131"/>
      <c r="O27" s="1131"/>
      <c r="P27" s="3234"/>
      <c r="Q27" s="1791" t="str">
        <f t="shared" si="11"/>
        <v>人流量</v>
      </c>
      <c r="R27" s="769" t="s">
        <v>17</v>
      </c>
      <c r="S27" s="770">
        <f>F27</f>
        <v>100</v>
      </c>
      <c r="T27" s="769" t="s">
        <v>17</v>
      </c>
      <c r="U27" s="770">
        <f>H27</f>
        <v>100</v>
      </c>
      <c r="V27" s="769" t="s">
        <v>17</v>
      </c>
      <c r="W27" s="770">
        <f>J27</f>
        <v>100</v>
      </c>
      <c r="X27" s="771"/>
      <c r="Y27" s="3193"/>
      <c r="Z27" s="55" t="str">
        <f>Q27</f>
        <v>人流量</v>
      </c>
      <c r="AA27" s="1807">
        <f>D27/F27</f>
        <v>1</v>
      </c>
      <c r="AB27" s="1807">
        <f>D27/H27</f>
        <v>1</v>
      </c>
      <c r="AC27" s="1807">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34"/>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193"/>
      <c r="Z28" s="1810" t="str">
        <f t="shared" ref="Z28:Z46" si="15">Q28</f>
        <v>楼层</v>
      </c>
      <c r="AA28" s="1807">
        <f t="shared" si="3"/>
        <v>1</v>
      </c>
      <c r="AB28" s="1807">
        <f t="shared" si="4"/>
        <v>1</v>
      </c>
      <c r="AC28" s="1807">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4"/>
      <c r="Q29" s="1806">
        <f t="shared" si="11"/>
        <v>111</v>
      </c>
      <c r="R29" s="773" t="s">
        <v>17</v>
      </c>
      <c r="S29" s="774">
        <f t="shared" si="12"/>
        <v>100</v>
      </c>
      <c r="T29" s="773" t="s">
        <v>17</v>
      </c>
      <c r="U29" s="774">
        <f t="shared" si="13"/>
        <v>100</v>
      </c>
      <c r="V29" s="773" t="s">
        <v>17</v>
      </c>
      <c r="W29" s="774">
        <f t="shared" si="14"/>
        <v>100</v>
      </c>
      <c r="X29" s="1809"/>
      <c r="Y29" s="3193"/>
      <c r="Z29" s="1810">
        <f t="shared" si="15"/>
        <v>111</v>
      </c>
      <c r="AA29" s="1807">
        <f t="shared" si="3"/>
        <v>1</v>
      </c>
      <c r="AB29" s="1807">
        <f t="shared" si="4"/>
        <v>1</v>
      </c>
      <c r="AC29" s="1807">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4"/>
      <c r="Q30" s="1806">
        <f t="shared" si="11"/>
        <v>111</v>
      </c>
      <c r="R30" s="773" t="s">
        <v>17</v>
      </c>
      <c r="S30" s="774">
        <f t="shared" si="12"/>
        <v>100</v>
      </c>
      <c r="T30" s="773" t="s">
        <v>17</v>
      </c>
      <c r="U30" s="774">
        <f t="shared" si="13"/>
        <v>100</v>
      </c>
      <c r="V30" s="773" t="s">
        <v>17</v>
      </c>
      <c r="W30" s="774">
        <f t="shared" si="14"/>
        <v>100</v>
      </c>
      <c r="X30" s="1809"/>
      <c r="Y30" s="3193"/>
      <c r="Z30" s="1810">
        <f t="shared" si="15"/>
        <v>111</v>
      </c>
      <c r="AA30" s="1807">
        <f t="shared" si="3"/>
        <v>1</v>
      </c>
      <c r="AB30" s="1807">
        <f t="shared" si="4"/>
        <v>1</v>
      </c>
      <c r="AC30" s="1807">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4"/>
      <c r="Q31" s="1806">
        <f t="shared" si="11"/>
        <v>111</v>
      </c>
      <c r="R31" s="773" t="s">
        <v>17</v>
      </c>
      <c r="S31" s="774">
        <f t="shared" si="12"/>
        <v>100</v>
      </c>
      <c r="T31" s="773" t="s">
        <v>17</v>
      </c>
      <c r="U31" s="774">
        <f t="shared" si="13"/>
        <v>100</v>
      </c>
      <c r="V31" s="773" t="s">
        <v>17</v>
      </c>
      <c r="W31" s="774">
        <f t="shared" si="14"/>
        <v>100</v>
      </c>
      <c r="X31" s="1809"/>
      <c r="Y31" s="3193"/>
      <c r="Z31" s="1810">
        <f t="shared" si="15"/>
        <v>111</v>
      </c>
      <c r="AA31" s="1807">
        <f t="shared" si="3"/>
        <v>1</v>
      </c>
      <c r="AB31" s="1807">
        <f t="shared" si="4"/>
        <v>1</v>
      </c>
      <c r="AC31" s="1807">
        <f t="shared" si="5"/>
        <v>1</v>
      </c>
    </row>
    <row r="32" spans="1:29" ht="15">
      <c r="A32" s="439" t="s">
        <v>2555</v>
      </c>
      <c r="B32" s="71" t="s">
        <v>2652</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8"/>
      <c r="M32" s="1129"/>
      <c r="N32" s="1129"/>
      <c r="O32" s="1129"/>
      <c r="P32" s="3229" t="s">
        <v>2557</v>
      </c>
      <c r="Q32" s="1806" t="str">
        <f t="shared" si="11"/>
        <v>商业类型</v>
      </c>
      <c r="R32" s="773" t="s">
        <v>17</v>
      </c>
      <c r="S32" s="774">
        <f t="shared" si="12"/>
        <v>100</v>
      </c>
      <c r="T32" s="773" t="s">
        <v>17</v>
      </c>
      <c r="U32" s="774">
        <f t="shared" si="13"/>
        <v>100</v>
      </c>
      <c r="V32" s="773" t="s">
        <v>17</v>
      </c>
      <c r="W32" s="774">
        <f t="shared" si="14"/>
        <v>100</v>
      </c>
      <c r="X32" s="1809"/>
      <c r="Y32" s="3195" t="s">
        <v>2557</v>
      </c>
      <c r="Z32" s="1810" t="str">
        <f t="shared" si="15"/>
        <v>商业类型</v>
      </c>
      <c r="AA32" s="1807">
        <f t="shared" si="3"/>
        <v>1</v>
      </c>
      <c r="AB32" s="1807">
        <f t="shared" si="4"/>
        <v>1</v>
      </c>
      <c r="AC32" s="1807">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30"/>
      <c r="Q33" s="775" t="str">
        <f t="shared" si="11"/>
        <v>项目建筑规模</v>
      </c>
      <c r="R33" s="776" t="s">
        <v>17</v>
      </c>
      <c r="S33" s="777" t="e">
        <f t="shared" si="12"/>
        <v>#N/A</v>
      </c>
      <c r="T33" s="776" t="s">
        <v>17</v>
      </c>
      <c r="U33" s="777" t="e">
        <f t="shared" si="13"/>
        <v>#N/A</v>
      </c>
      <c r="V33" s="776" t="s">
        <v>17</v>
      </c>
      <c r="W33" s="777" t="e">
        <f t="shared" si="14"/>
        <v>#N/A</v>
      </c>
      <c r="X33" s="778"/>
      <c r="Y33" s="3195"/>
      <c r="Z33" s="779" t="str">
        <f t="shared" si="15"/>
        <v>项目建筑规模</v>
      </c>
      <c r="AA33" s="1807" t="e">
        <f t="shared" si="3"/>
        <v>#N/A</v>
      </c>
      <c r="AB33" s="1807" t="e">
        <f t="shared" si="4"/>
        <v>#N/A</v>
      </c>
      <c r="AC33" s="1807" t="e">
        <f t="shared" si="5"/>
        <v>#N/A</v>
      </c>
    </row>
    <row r="34" spans="1:29" ht="15">
      <c r="A34" s="471"/>
      <c r="B34" s="421" t="s">
        <v>2559</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8"/>
      <c r="M34" s="1129"/>
      <c r="N34" s="1129"/>
      <c r="O34" s="1129"/>
      <c r="P34" s="3230"/>
      <c r="Q34" s="1806" t="str">
        <f t="shared" si="11"/>
        <v>建筑结构</v>
      </c>
      <c r="R34" s="773" t="s">
        <v>17</v>
      </c>
      <c r="S34" s="774">
        <f t="shared" si="12"/>
        <v>100</v>
      </c>
      <c r="T34" s="773" t="s">
        <v>17</v>
      </c>
      <c r="U34" s="774">
        <f t="shared" si="13"/>
        <v>100</v>
      </c>
      <c r="V34" s="773" t="s">
        <v>17</v>
      </c>
      <c r="W34" s="774">
        <f t="shared" si="14"/>
        <v>100</v>
      </c>
      <c r="X34" s="1809"/>
      <c r="Y34" s="3195"/>
      <c r="Z34" s="1810" t="str">
        <f t="shared" si="15"/>
        <v>建筑结构</v>
      </c>
      <c r="AA34" s="1807">
        <f t="shared" si="3"/>
        <v>1</v>
      </c>
      <c r="AB34" s="1807">
        <f t="shared" si="4"/>
        <v>1</v>
      </c>
      <c r="AC34" s="1807">
        <f t="shared" si="5"/>
        <v>1</v>
      </c>
    </row>
    <row r="35" spans="1:29" ht="15">
      <c r="A35" s="471"/>
      <c r="B35" s="421" t="s">
        <v>2653</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8"/>
      <c r="M35" s="1129"/>
      <c r="N35" s="1129"/>
      <c r="O35" s="1129"/>
      <c r="P35" s="3230"/>
      <c r="Q35" s="1806" t="str">
        <f t="shared" si="11"/>
        <v>公共部分装修</v>
      </c>
      <c r="R35" s="773" t="s">
        <v>17</v>
      </c>
      <c r="S35" s="774">
        <f t="shared" si="12"/>
        <v>100</v>
      </c>
      <c r="T35" s="773" t="s">
        <v>17</v>
      </c>
      <c r="U35" s="774">
        <f t="shared" si="13"/>
        <v>100</v>
      </c>
      <c r="V35" s="773" t="s">
        <v>17</v>
      </c>
      <c r="W35" s="774">
        <f t="shared" si="14"/>
        <v>100</v>
      </c>
      <c r="X35" s="1809"/>
      <c r="Y35" s="3195"/>
      <c r="Z35" s="1810" t="str">
        <f t="shared" si="15"/>
        <v>公共部分装修</v>
      </c>
      <c r="AA35" s="1807">
        <f t="shared" si="3"/>
        <v>1</v>
      </c>
      <c r="AB35" s="1807">
        <f t="shared" si="4"/>
        <v>1</v>
      </c>
      <c r="AC35" s="1807">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30"/>
      <c r="Q36" s="1806" t="str">
        <f t="shared" si="11"/>
        <v>成新度</v>
      </c>
      <c r="R36" s="773" t="s">
        <v>17</v>
      </c>
      <c r="S36" s="774" t="e">
        <f t="shared" si="12"/>
        <v>#N/A</v>
      </c>
      <c r="T36" s="773" t="s">
        <v>17</v>
      </c>
      <c r="U36" s="774" t="e">
        <f t="shared" si="13"/>
        <v>#N/A</v>
      </c>
      <c r="V36" s="773" t="s">
        <v>17</v>
      </c>
      <c r="W36" s="774" t="e">
        <f t="shared" si="14"/>
        <v>#N/A</v>
      </c>
      <c r="X36" s="1809"/>
      <c r="Y36" s="3195"/>
      <c r="Z36" s="1810" t="str">
        <f t="shared" si="15"/>
        <v>成新度</v>
      </c>
      <c r="AA36" s="1807" t="e">
        <f t="shared" si="3"/>
        <v>#N/A</v>
      </c>
      <c r="AB36" s="1807" t="e">
        <f t="shared" si="4"/>
        <v>#N/A</v>
      </c>
      <c r="AC36" s="1807" t="e">
        <f t="shared" si="5"/>
        <v>#N/A</v>
      </c>
    </row>
    <row r="37" spans="1:29" s="116" customFormat="1" ht="15">
      <c r="A37" s="472"/>
      <c r="B37" s="421" t="s">
        <v>2655</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30"/>
      <c r="M37" s="1131"/>
      <c r="N37" s="1131"/>
      <c r="O37" s="1131"/>
      <c r="P37" s="3230"/>
      <c r="Q37" s="1791" t="str">
        <f t="shared" si="11"/>
        <v>市政基础设施</v>
      </c>
      <c r="R37" s="769" t="s">
        <v>17</v>
      </c>
      <c r="S37" s="770">
        <f t="shared" si="12"/>
        <v>100</v>
      </c>
      <c r="T37" s="769" t="s">
        <v>17</v>
      </c>
      <c r="U37" s="770">
        <f t="shared" si="13"/>
        <v>100</v>
      </c>
      <c r="V37" s="769" t="s">
        <v>17</v>
      </c>
      <c r="W37" s="770">
        <f t="shared" si="14"/>
        <v>100</v>
      </c>
      <c r="X37" s="771"/>
      <c r="Y37" s="3195"/>
      <c r="Z37" s="55" t="str">
        <f t="shared" si="15"/>
        <v>市政基础设施</v>
      </c>
      <c r="AA37" s="772">
        <f t="shared" si="3"/>
        <v>1</v>
      </c>
      <c r="AB37" s="772">
        <f t="shared" si="4"/>
        <v>1</v>
      </c>
      <c r="AC37" s="772">
        <f t="shared" si="5"/>
        <v>1</v>
      </c>
    </row>
    <row r="38" spans="1:29" ht="15">
      <c r="A38" s="471"/>
      <c r="B38" s="421" t="s">
        <v>2656</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8"/>
      <c r="M38" s="1129"/>
      <c r="N38" s="1129"/>
      <c r="O38" s="1129"/>
      <c r="P38" s="3230" t="s">
        <v>2557</v>
      </c>
      <c r="Q38" s="1806" t="str">
        <f t="shared" si="11"/>
        <v>业态</v>
      </c>
      <c r="R38" s="773" t="s">
        <v>17</v>
      </c>
      <c r="S38" s="774">
        <f t="shared" si="12"/>
        <v>100</v>
      </c>
      <c r="T38" s="773" t="s">
        <v>17</v>
      </c>
      <c r="U38" s="774">
        <f t="shared" si="13"/>
        <v>100</v>
      </c>
      <c r="V38" s="773" t="s">
        <v>17</v>
      </c>
      <c r="W38" s="774">
        <f t="shared" si="14"/>
        <v>100</v>
      </c>
      <c r="X38" s="1809"/>
      <c r="Y38" s="3195" t="s">
        <v>2557</v>
      </c>
      <c r="Z38" s="1810" t="str">
        <f t="shared" si="15"/>
        <v>业态</v>
      </c>
      <c r="AA38" s="1807">
        <f t="shared" si="3"/>
        <v>1</v>
      </c>
      <c r="AB38" s="1807">
        <f t="shared" si="4"/>
        <v>1</v>
      </c>
      <c r="AC38" s="1807">
        <f t="shared" si="5"/>
        <v>1</v>
      </c>
    </row>
    <row r="39" spans="1:29" ht="15">
      <c r="A39" s="471"/>
      <c r="B39" s="421" t="s">
        <v>2657</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8"/>
      <c r="M39" s="1129"/>
      <c r="N39" s="1129"/>
      <c r="O39" s="1129"/>
      <c r="P39" s="3230"/>
      <c r="Q39" s="1806" t="str">
        <f t="shared" si="11"/>
        <v>层高</v>
      </c>
      <c r="R39" s="773" t="s">
        <v>17</v>
      </c>
      <c r="S39" s="774">
        <f t="shared" si="12"/>
        <v>100</v>
      </c>
      <c r="T39" s="773" t="s">
        <v>17</v>
      </c>
      <c r="U39" s="774">
        <f t="shared" si="13"/>
        <v>100</v>
      </c>
      <c r="V39" s="773" t="s">
        <v>17</v>
      </c>
      <c r="W39" s="774">
        <f t="shared" si="14"/>
        <v>100</v>
      </c>
      <c r="X39" s="1809"/>
      <c r="Y39" s="3195"/>
      <c r="Z39" s="1810" t="str">
        <f t="shared" si="15"/>
        <v>层高</v>
      </c>
      <c r="AA39" s="1807">
        <f t="shared" si="3"/>
        <v>1</v>
      </c>
      <c r="AB39" s="1807">
        <f t="shared" si="4"/>
        <v>1</v>
      </c>
      <c r="AC39" s="1807">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30"/>
      <c r="Q40" s="1806" t="str">
        <f t="shared" si="11"/>
        <v>单套建筑面积</v>
      </c>
      <c r="R40" s="773" t="s">
        <v>17</v>
      </c>
      <c r="S40" s="774">
        <f t="shared" si="12"/>
        <v>100</v>
      </c>
      <c r="T40" s="773" t="s">
        <v>17</v>
      </c>
      <c r="U40" s="774">
        <f t="shared" si="13"/>
        <v>100</v>
      </c>
      <c r="V40" s="773" t="s">
        <v>17</v>
      </c>
      <c r="W40" s="774">
        <f t="shared" si="14"/>
        <v>100</v>
      </c>
      <c r="X40" s="1809"/>
      <c r="Y40" s="3195"/>
      <c r="Z40" s="1810" t="str">
        <f t="shared" si="15"/>
        <v>单套建筑面积</v>
      </c>
      <c r="AA40" s="1807">
        <f t="shared" si="3"/>
        <v>1</v>
      </c>
      <c r="AB40" s="1807">
        <f t="shared" si="4"/>
        <v>1</v>
      </c>
      <c r="AC40" s="1807">
        <f t="shared" si="5"/>
        <v>1</v>
      </c>
    </row>
    <row r="41" spans="1:29" s="470" customFormat="1" ht="15">
      <c r="A41" s="467"/>
      <c r="B41" s="1808"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30"/>
      <c r="Q41" s="775" t="str">
        <f t="shared" si="11"/>
        <v>进深比</v>
      </c>
      <c r="R41" s="776" t="s">
        <v>17</v>
      </c>
      <c r="S41" s="777">
        <f t="shared" si="12"/>
        <v>100</v>
      </c>
      <c r="T41" s="776" t="s">
        <v>17</v>
      </c>
      <c r="U41" s="777">
        <f t="shared" si="13"/>
        <v>100</v>
      </c>
      <c r="V41" s="776" t="s">
        <v>17</v>
      </c>
      <c r="W41" s="777">
        <f t="shared" si="14"/>
        <v>100</v>
      </c>
      <c r="X41" s="778"/>
      <c r="Y41" s="3195"/>
      <c r="Z41" s="779" t="str">
        <f t="shared" si="15"/>
        <v>进深比</v>
      </c>
      <c r="AA41" s="1807">
        <f t="shared" si="3"/>
        <v>1</v>
      </c>
      <c r="AB41" s="1807">
        <f t="shared" si="4"/>
        <v>1</v>
      </c>
      <c r="AC41" s="1807">
        <f t="shared" si="5"/>
        <v>1</v>
      </c>
    </row>
    <row r="42" spans="1:29" ht="15">
      <c r="A42" s="471"/>
      <c r="B42" s="421" t="s">
        <v>2660</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8"/>
      <c r="M42" s="1129"/>
      <c r="N42" s="1129"/>
      <c r="O42" s="1129"/>
      <c r="P42" s="3230"/>
      <c r="Q42" s="1806" t="str">
        <f t="shared" si="11"/>
        <v>内部装修</v>
      </c>
      <c r="R42" s="773" t="s">
        <v>17</v>
      </c>
      <c r="S42" s="774">
        <f t="shared" si="12"/>
        <v>100</v>
      </c>
      <c r="T42" s="773" t="s">
        <v>17</v>
      </c>
      <c r="U42" s="774">
        <f t="shared" si="13"/>
        <v>100</v>
      </c>
      <c r="V42" s="773" t="s">
        <v>17</v>
      </c>
      <c r="W42" s="774">
        <f t="shared" si="14"/>
        <v>100</v>
      </c>
      <c r="X42" s="1809"/>
      <c r="Y42" s="3195"/>
      <c r="Z42" s="1810" t="str">
        <f t="shared" si="15"/>
        <v>内部装修</v>
      </c>
      <c r="AA42" s="1807">
        <f t="shared" si="3"/>
        <v>1</v>
      </c>
      <c r="AB42" s="1807">
        <f t="shared" si="4"/>
        <v>1</v>
      </c>
      <c r="AC42" s="1807">
        <f t="shared" si="5"/>
        <v>1</v>
      </c>
    </row>
    <row r="43" spans="1:29" ht="15">
      <c r="A43" s="471"/>
      <c r="B43" s="421" t="s">
        <v>2568</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8"/>
      <c r="M43" s="1129"/>
      <c r="N43" s="1129"/>
      <c r="O43" s="1129"/>
      <c r="P43" s="3230"/>
      <c r="Q43" s="1806" t="str">
        <f t="shared" si="11"/>
        <v>内部装修维护情况</v>
      </c>
      <c r="R43" s="773" t="s">
        <v>17</v>
      </c>
      <c r="S43" s="774">
        <f t="shared" si="12"/>
        <v>100</v>
      </c>
      <c r="T43" s="773" t="s">
        <v>17</v>
      </c>
      <c r="U43" s="774">
        <f t="shared" si="13"/>
        <v>100</v>
      </c>
      <c r="V43" s="773" t="s">
        <v>17</v>
      </c>
      <c r="W43" s="774">
        <f t="shared" si="14"/>
        <v>100</v>
      </c>
      <c r="X43" s="1809"/>
      <c r="Y43" s="3195"/>
      <c r="Z43" s="1810" t="str">
        <f t="shared" si="15"/>
        <v>内部装修维护情况</v>
      </c>
      <c r="AA43" s="1807">
        <f t="shared" si="3"/>
        <v>1</v>
      </c>
      <c r="AB43" s="1807">
        <f t="shared" si="4"/>
        <v>1</v>
      </c>
      <c r="AC43" s="1807">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30"/>
      <c r="Q44" s="1791">
        <f t="shared" si="11"/>
        <v>111</v>
      </c>
      <c r="R44" s="769" t="s">
        <v>17</v>
      </c>
      <c r="S44" s="770">
        <f t="shared" si="12"/>
        <v>100</v>
      </c>
      <c r="T44" s="769" t="s">
        <v>17</v>
      </c>
      <c r="U44" s="770">
        <f t="shared" si="13"/>
        <v>100</v>
      </c>
      <c r="V44" s="769" t="s">
        <v>17</v>
      </c>
      <c r="W44" s="770">
        <f t="shared" si="14"/>
        <v>100</v>
      </c>
      <c r="X44" s="771"/>
      <c r="Y44" s="3195"/>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30"/>
      <c r="Q45" s="1806">
        <f t="shared" si="11"/>
        <v>111</v>
      </c>
      <c r="R45" s="773" t="s">
        <v>17</v>
      </c>
      <c r="S45" s="774">
        <f t="shared" si="12"/>
        <v>100</v>
      </c>
      <c r="T45" s="773" t="s">
        <v>17</v>
      </c>
      <c r="U45" s="774">
        <f t="shared" si="13"/>
        <v>100</v>
      </c>
      <c r="V45" s="773" t="s">
        <v>17</v>
      </c>
      <c r="W45" s="774">
        <f t="shared" si="14"/>
        <v>100</v>
      </c>
      <c r="X45" s="1809"/>
      <c r="Y45" s="3195"/>
      <c r="Z45" s="1810">
        <f t="shared" si="15"/>
        <v>111</v>
      </c>
      <c r="AA45" s="1807">
        <f t="shared" si="3"/>
        <v>1</v>
      </c>
      <c r="AB45" s="1807">
        <f t="shared" si="4"/>
        <v>1</v>
      </c>
      <c r="AC45" s="1807">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1"/>
      <c r="Q46" s="1806">
        <f t="shared" si="11"/>
        <v>111</v>
      </c>
      <c r="R46" s="773" t="s">
        <v>17</v>
      </c>
      <c r="S46" s="774">
        <f t="shared" si="12"/>
        <v>100</v>
      </c>
      <c r="T46" s="773" t="s">
        <v>17</v>
      </c>
      <c r="U46" s="774">
        <f t="shared" si="13"/>
        <v>100</v>
      </c>
      <c r="V46" s="773" t="s">
        <v>17</v>
      </c>
      <c r="W46" s="774">
        <f t="shared" si="14"/>
        <v>100</v>
      </c>
      <c r="X46" s="1809"/>
      <c r="Y46" s="3232"/>
      <c r="Z46" s="1810">
        <f t="shared" si="15"/>
        <v>111</v>
      </c>
      <c r="AA46" s="1807">
        <f t="shared" si="3"/>
        <v>1</v>
      </c>
      <c r="AB46" s="1807">
        <f t="shared" si="4"/>
        <v>1</v>
      </c>
      <c r="AC46" s="1807">
        <f t="shared" si="5"/>
        <v>1</v>
      </c>
    </row>
    <row r="47" spans="1:29" ht="15">
      <c r="A47" s="478" t="s">
        <v>2569</v>
      </c>
      <c r="B47" s="479"/>
      <c r="C47" s="1404" t="s">
        <v>1</v>
      </c>
      <c r="D47" s="1405"/>
      <c r="E47" s="1406"/>
      <c r="F47" s="1407"/>
      <c r="G47" s="1408"/>
      <c r="H47" s="1409"/>
      <c r="I47" s="1406"/>
      <c r="J47" s="1409"/>
      <c r="K47" s="782"/>
      <c r="L47" s="1141"/>
      <c r="M47" s="1142"/>
      <c r="N47" s="1129"/>
      <c r="O47" s="1142"/>
      <c r="P47" s="3190" t="str">
        <f>A47</f>
        <v>成交单价（元/平方米）</v>
      </c>
      <c r="Q47" s="3190"/>
      <c r="R47" s="3196">
        <f>E47</f>
        <v>0</v>
      </c>
      <c r="S47" s="3196"/>
      <c r="T47" s="3196">
        <f>G47</f>
        <v>0</v>
      </c>
      <c r="U47" s="3196"/>
      <c r="V47" s="3196">
        <f>I47</f>
        <v>0</v>
      </c>
      <c r="W47" s="3196"/>
      <c r="X47" s="758"/>
      <c r="Y47" s="780"/>
      <c r="Z47" s="758"/>
      <c r="AA47" s="758"/>
      <c r="AB47" s="758"/>
      <c r="AC47" s="758"/>
    </row>
    <row r="48" spans="1:29" ht="15.75" thickBot="1">
      <c r="A48" s="485" t="s">
        <v>2661</v>
      </c>
      <c r="B48" s="486"/>
      <c r="C48" s="1410" t="e">
        <f>R49</f>
        <v>#DIV/0!</v>
      </c>
      <c r="D48" s="1411"/>
      <c r="E48" s="1412" t="e">
        <f>R48</f>
        <v>#DIV/0!</v>
      </c>
      <c r="F48" s="1412"/>
      <c r="G48" s="1410" t="e">
        <f>T48</f>
        <v>#DIV/0!</v>
      </c>
      <c r="H48" s="1411"/>
      <c r="I48" s="1412" t="e">
        <f>V48</f>
        <v>#DIV/0!</v>
      </c>
      <c r="J48" s="1411"/>
      <c r="K48" s="783"/>
      <c r="L48" s="1141"/>
      <c r="M48" s="1142"/>
      <c r="N48" s="1129"/>
      <c r="O48" s="1142"/>
      <c r="P48" s="3190" t="str">
        <f>A48</f>
        <v>比较价值（元/平方米）</v>
      </c>
      <c r="Q48" s="3190"/>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1" t="s">
        <v>2662</v>
      </c>
      <c r="B49" s="492"/>
      <c r="C49" s="1414" t="e">
        <f>R49</f>
        <v>#DIV/0!</v>
      </c>
      <c r="D49" s="1414"/>
      <c r="E49" s="1414"/>
      <c r="F49" s="1414"/>
      <c r="G49" s="1414"/>
      <c r="H49" s="1414"/>
      <c r="I49" s="1414"/>
      <c r="J49" s="1414"/>
      <c r="K49" s="784"/>
      <c r="L49" s="1141"/>
      <c r="M49" s="1142"/>
      <c r="N49" s="1129"/>
      <c r="O49" s="1142"/>
      <c r="P49" s="3184" t="str">
        <f>A49</f>
        <v>估价对象XX用房的比较价值（楼面单价，元/平方米）</v>
      </c>
      <c r="Q49" s="3185"/>
      <c r="R49" s="3227" t="e">
        <f>IF(F1="售价",ROUND(AVERAGE(R48:V48),0),ROUND(AVERAGE(R48:V48),1))</f>
        <v>#DIV/0!</v>
      </c>
      <c r="S49" s="3227"/>
      <c r="T49" s="3227"/>
      <c r="U49" s="3227"/>
      <c r="V49" s="3227"/>
      <c r="W49" s="322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6"/>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6"/>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9"/>
      <c r="M57" s="1157"/>
      <c r="N57" s="1157"/>
      <c r="O57" s="1157"/>
      <c r="P57" s="2657"/>
      <c r="Q57" s="2658"/>
      <c r="R57" s="758"/>
      <c r="S57" s="758"/>
      <c r="T57" s="758"/>
      <c r="U57" s="758"/>
      <c r="V57" s="758"/>
      <c r="W57" s="758"/>
      <c r="X57" s="758"/>
      <c r="Y57" s="758"/>
      <c r="Z57" s="758"/>
      <c r="AA57" s="758"/>
      <c r="AB57" s="758"/>
      <c r="AC57" s="758"/>
    </row>
    <row r="58" spans="1:29" s="507" customFormat="1" ht="15">
      <c r="A58" s="504" t="s">
        <v>2540</v>
      </c>
      <c r="B58" s="505"/>
      <c r="C58" s="1570" t="str">
        <f>YEAR(C7)&amp;"-"&amp;MONTH(C7)</f>
        <v>2018-11</v>
      </c>
      <c r="D58" s="1571">
        <f>EDATE(C58,-1)</f>
        <v>43374</v>
      </c>
      <c r="E58" s="1571">
        <f t="shared" ref="E58:N58" si="16">EDATE(D58,-1)</f>
        <v>43344</v>
      </c>
      <c r="F58" s="1571">
        <f t="shared" si="16"/>
        <v>43313</v>
      </c>
      <c r="G58" s="1571">
        <f t="shared" si="16"/>
        <v>43282</v>
      </c>
      <c r="H58" s="1571">
        <f t="shared" si="16"/>
        <v>43252</v>
      </c>
      <c r="I58" s="1571">
        <f t="shared" si="16"/>
        <v>43221</v>
      </c>
      <c r="J58" s="1571">
        <f t="shared" si="16"/>
        <v>43191</v>
      </c>
      <c r="K58" s="1571">
        <f t="shared" si="16"/>
        <v>43160</v>
      </c>
      <c r="L58" s="1571">
        <f t="shared" si="16"/>
        <v>43132</v>
      </c>
      <c r="M58" s="1571">
        <f t="shared" si="16"/>
        <v>43101</v>
      </c>
      <c r="N58" s="1571">
        <f t="shared" si="16"/>
        <v>43070</v>
      </c>
      <c r="O58" s="1571">
        <f>EDATE(N58,-1)</f>
        <v>43040</v>
      </c>
      <c r="P58" s="1566"/>
    </row>
    <row r="59" spans="1:29" s="116" customFormat="1" ht="15">
      <c r="A59" s="508"/>
      <c r="B59" s="509"/>
      <c r="C59" s="1569">
        <v>100</v>
      </c>
      <c r="D59" s="511"/>
      <c r="E59" s="511"/>
      <c r="F59" s="511"/>
      <c r="G59" s="511"/>
      <c r="H59" s="511"/>
      <c r="I59" s="511"/>
      <c r="J59" s="511"/>
      <c r="K59" s="511"/>
      <c r="L59" s="511"/>
      <c r="M59" s="512"/>
      <c r="N59" s="511"/>
      <c r="O59" s="512"/>
      <c r="P59" s="2618"/>
    </row>
    <row r="60" spans="1:29" s="116" customFormat="1" ht="15.75" thickBot="1">
      <c r="A60" s="514" t="s">
        <v>2577</v>
      </c>
      <c r="B60" s="515"/>
      <c r="C60" s="516"/>
      <c r="D60" s="517"/>
      <c r="E60" s="517"/>
      <c r="F60" s="517"/>
      <c r="G60" s="517"/>
      <c r="H60" s="517"/>
      <c r="I60" s="517"/>
      <c r="J60" s="517"/>
      <c r="K60" s="517"/>
      <c r="L60" s="517"/>
      <c r="M60" s="518"/>
      <c r="N60" s="517"/>
      <c r="O60" s="518"/>
      <c r="P60" s="2618"/>
      <c r="Q60" s="503"/>
    </row>
    <row r="61" spans="1:29" s="116" customFormat="1" ht="15">
      <c r="A61" s="520" t="s">
        <v>2542</v>
      </c>
      <c r="B61" s="509"/>
      <c r="C61" s="521" t="s">
        <v>2644</v>
      </c>
      <c r="D61" s="522"/>
      <c r="E61" s="522"/>
      <c r="F61" s="522"/>
      <c r="G61" s="522"/>
      <c r="H61" s="522"/>
      <c r="I61" s="522"/>
      <c r="J61" s="522"/>
      <c r="K61" s="522"/>
      <c r="L61" s="523"/>
      <c r="M61" s="524"/>
      <c r="N61" s="1149"/>
      <c r="O61" s="1149"/>
      <c r="P61" s="2619"/>
      <c r="Q61" s="503"/>
    </row>
    <row r="62" spans="1:29" s="116" customFormat="1" ht="15.75" thickBot="1">
      <c r="A62" s="520"/>
      <c r="B62" s="509"/>
      <c r="C62" s="510">
        <v>100</v>
      </c>
      <c r="D62" s="511"/>
      <c r="E62" s="511"/>
      <c r="F62" s="511"/>
      <c r="G62" s="511"/>
      <c r="H62" s="511"/>
      <c r="I62" s="511"/>
      <c r="J62" s="511"/>
      <c r="K62" s="511"/>
      <c r="L62" s="511"/>
      <c r="M62" s="513"/>
      <c r="N62" s="1149"/>
      <c r="O62" s="1149"/>
      <c r="P62" s="2618"/>
      <c r="Q62" s="503"/>
    </row>
    <row r="63" spans="1:29">
      <c r="A63" s="526" t="s">
        <v>2580</v>
      </c>
      <c r="B63" s="527" t="s">
        <v>2546</v>
      </c>
      <c r="C63" s="528">
        <f>C9</f>
        <v>0</v>
      </c>
      <c r="D63" s="529"/>
      <c r="E63" s="529"/>
      <c r="F63" s="529"/>
      <c r="G63" s="529"/>
      <c r="H63" s="529"/>
      <c r="I63" s="529"/>
      <c r="J63" s="529"/>
      <c r="K63" s="530"/>
      <c r="L63" s="531"/>
      <c r="M63" s="532"/>
      <c r="N63" s="1150"/>
      <c r="O63" s="1150"/>
      <c r="P63" s="2620"/>
      <c r="Q63" s="503"/>
    </row>
    <row r="64" spans="1:29" ht="15.75" thickBot="1">
      <c r="A64" s="533"/>
      <c r="B64" s="534"/>
      <c r="C64" s="535">
        <v>100</v>
      </c>
      <c r="D64" s="535"/>
      <c r="E64" s="535"/>
      <c r="F64" s="535"/>
      <c r="G64" s="535"/>
      <c r="H64" s="535"/>
      <c r="I64" s="535"/>
      <c r="J64" s="535"/>
      <c r="K64" s="535"/>
      <c r="L64" s="535"/>
      <c r="M64" s="536"/>
      <c r="N64" s="1151"/>
      <c r="O64" s="1151"/>
      <c r="P64" s="2620"/>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0"/>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0"/>
      <c r="Q67" s="503"/>
    </row>
    <row r="68" spans="1:17" ht="15">
      <c r="A68" s="533"/>
      <c r="B68" s="547"/>
      <c r="C68" s="548"/>
      <c r="D68" s="548"/>
      <c r="E68" s="548"/>
      <c r="F68" s="548"/>
      <c r="G68" s="548"/>
      <c r="H68" s="548"/>
      <c r="I68" s="548"/>
      <c r="J68" s="548"/>
      <c r="K68" s="549"/>
      <c r="L68" s="550"/>
      <c r="M68" s="551"/>
      <c r="N68" s="1150"/>
      <c r="O68" s="1150"/>
      <c r="P68" s="262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0"/>
      <c r="Q69" s="503"/>
    </row>
    <row r="70" spans="1:17" s="470" customFormat="1" ht="15.75" thickTop="1">
      <c r="A70" s="552"/>
      <c r="B70" s="537">
        <f>B12</f>
        <v>111</v>
      </c>
      <c r="C70" s="553"/>
      <c r="D70" s="553"/>
      <c r="E70" s="553"/>
      <c r="F70" s="553"/>
      <c r="G70" s="553"/>
      <c r="H70" s="554"/>
      <c r="I70" s="554"/>
      <c r="J70" s="554"/>
      <c r="K70" s="554"/>
      <c r="L70" s="555"/>
      <c r="M70" s="556"/>
      <c r="N70" s="1152"/>
      <c r="O70" s="1152"/>
      <c r="P70" s="2621"/>
      <c r="Q70" s="558"/>
    </row>
    <row r="71" spans="1:17" s="470" customFormat="1" ht="15.75" thickBot="1">
      <c r="A71" s="552"/>
      <c r="B71" s="542"/>
      <c r="C71" s="559"/>
      <c r="D71" s="535"/>
      <c r="E71" s="535"/>
      <c r="F71" s="535"/>
      <c r="G71" s="535"/>
      <c r="H71" s="535"/>
      <c r="I71" s="535"/>
      <c r="J71" s="535"/>
      <c r="K71" s="535"/>
      <c r="L71" s="535"/>
      <c r="M71" s="536"/>
      <c r="N71" s="1151"/>
      <c r="O71" s="1151"/>
      <c r="P71" s="2621"/>
      <c r="Q71" s="558"/>
    </row>
    <row r="72" spans="1:17" s="470" customFormat="1" ht="15.75" thickTop="1">
      <c r="A72" s="552"/>
      <c r="B72" s="537">
        <f>B13</f>
        <v>111</v>
      </c>
      <c r="C72" s="553"/>
      <c r="D72" s="553"/>
      <c r="E72" s="553"/>
      <c r="F72" s="553"/>
      <c r="G72" s="553"/>
      <c r="H72" s="554"/>
      <c r="I72" s="554"/>
      <c r="J72" s="554"/>
      <c r="K72" s="554"/>
      <c r="L72" s="555"/>
      <c r="M72" s="556"/>
      <c r="N72" s="1152"/>
      <c r="O72" s="1152"/>
      <c r="P72" s="2622"/>
      <c r="Q72" s="560"/>
    </row>
    <row r="73" spans="1:17" s="470" customFormat="1" ht="15.75" thickBot="1">
      <c r="A73" s="552"/>
      <c r="B73" s="542"/>
      <c r="C73" s="559"/>
      <c r="D73" s="535"/>
      <c r="E73" s="535"/>
      <c r="F73" s="535"/>
      <c r="G73" s="559"/>
      <c r="H73" s="561"/>
      <c r="I73" s="561"/>
      <c r="J73" s="561"/>
      <c r="K73" s="561"/>
      <c r="L73" s="561"/>
      <c r="M73" s="562"/>
      <c r="N73" s="1152"/>
      <c r="O73" s="1152"/>
      <c r="P73" s="2621"/>
      <c r="Q73" s="558"/>
    </row>
    <row r="74" spans="1:17" s="470" customFormat="1" ht="15.75" thickTop="1">
      <c r="A74" s="552"/>
      <c r="B74" s="545">
        <f>B14</f>
        <v>111</v>
      </c>
      <c r="C74" s="553"/>
      <c r="D74" s="553"/>
      <c r="E74" s="553"/>
      <c r="F74" s="553"/>
      <c r="G74" s="522"/>
      <c r="H74" s="563"/>
      <c r="I74" s="563"/>
      <c r="J74" s="563"/>
      <c r="K74" s="563"/>
      <c r="L74" s="564"/>
      <c r="M74" s="565"/>
      <c r="N74" s="1152"/>
      <c r="O74" s="1152"/>
      <c r="P74" s="2623"/>
      <c r="Q74" s="558"/>
    </row>
    <row r="75" spans="1:17" s="470" customFormat="1" ht="15.75" thickBot="1">
      <c r="A75" s="567"/>
      <c r="B75" s="568"/>
      <c r="C75" s="569"/>
      <c r="D75" s="569"/>
      <c r="E75" s="569"/>
      <c r="F75" s="569"/>
      <c r="G75" s="569"/>
      <c r="H75" s="570"/>
      <c r="I75" s="570"/>
      <c r="J75" s="570"/>
      <c r="K75" s="570"/>
      <c r="L75" s="570"/>
      <c r="M75" s="571"/>
      <c r="N75" s="1152"/>
      <c r="O75" s="1152"/>
      <c r="P75" s="2621"/>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0"/>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0"/>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0"/>
      <c r="Q81" s="503"/>
    </row>
    <row r="82" spans="1:17" ht="15.75" thickTop="1">
      <c r="A82" s="533"/>
      <c r="B82" s="545" t="s">
        <v>2647</v>
      </c>
      <c r="C82" s="659" t="s">
        <v>2667</v>
      </c>
      <c r="D82" s="659" t="s">
        <v>2668</v>
      </c>
      <c r="E82" s="659" t="s">
        <v>2669</v>
      </c>
      <c r="F82" s="659" t="s">
        <v>2670</v>
      </c>
      <c r="G82" s="659" t="s">
        <v>2671</v>
      </c>
      <c r="H82" s="538"/>
      <c r="I82" s="538"/>
      <c r="J82" s="538"/>
      <c r="K82" s="538"/>
      <c r="L82" s="538"/>
      <c r="M82" s="1380"/>
      <c r="N82" s="1151"/>
      <c r="O82" s="1151"/>
      <c r="P82" s="262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0"/>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0"/>
      <c r="Q85" s="503"/>
    </row>
    <row r="86" spans="1:17" s="116" customFormat="1" ht="15.75" thickTop="1">
      <c r="A86" s="578"/>
      <c r="B86" s="537" t="s">
        <v>2672</v>
      </c>
      <c r="C86" s="553"/>
      <c r="D86" s="553"/>
      <c r="E86" s="553"/>
      <c r="F86" s="553"/>
      <c r="G86" s="553"/>
      <c r="H86" s="553"/>
      <c r="I86" s="553"/>
      <c r="J86" s="553"/>
      <c r="K86" s="553"/>
      <c r="L86" s="579"/>
      <c r="M86" s="580"/>
      <c r="N86" s="1149"/>
      <c r="O86" s="1149"/>
      <c r="P86" s="262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0"/>
      <c r="Q87" s="503"/>
    </row>
    <row r="88" spans="1:17" s="116" customFormat="1" ht="15.75" thickTop="1">
      <c r="A88" s="578"/>
      <c r="B88" s="537" t="str">
        <f>B26</f>
        <v>平面位置/可视性</v>
      </c>
      <c r="C88" s="553"/>
      <c r="D88" s="553"/>
      <c r="E88" s="553"/>
      <c r="F88" s="2625"/>
      <c r="G88" s="553"/>
      <c r="H88" s="553"/>
      <c r="I88" s="553"/>
      <c r="J88" s="553"/>
      <c r="K88" s="553"/>
      <c r="L88" s="553"/>
      <c r="M88" s="580"/>
      <c r="N88" s="1149"/>
      <c r="O88" s="1149"/>
      <c r="P88" s="2620"/>
      <c r="Q88" s="503"/>
    </row>
    <row r="89" spans="1:17" s="116" customFormat="1" ht="15.75" thickBot="1">
      <c r="A89" s="578"/>
      <c r="B89" s="542"/>
      <c r="C89" s="559"/>
      <c r="D89" s="535"/>
      <c r="E89" s="535"/>
      <c r="F89" s="535"/>
      <c r="G89" s="535"/>
      <c r="H89" s="535"/>
      <c r="I89" s="535"/>
      <c r="J89" s="535"/>
      <c r="K89" s="535"/>
      <c r="L89" s="535"/>
      <c r="M89" s="535"/>
      <c r="N89" s="1151"/>
      <c r="O89" s="1151"/>
      <c r="P89" s="2620"/>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1"/>
      <c r="Q91" s="558"/>
    </row>
    <row r="92" spans="1:17" ht="15.75" thickTop="1">
      <c r="A92" s="533"/>
      <c r="B92" s="537" t="str">
        <f>B28</f>
        <v>楼层</v>
      </c>
      <c r="C92" s="553"/>
      <c r="D92" s="553"/>
      <c r="E92" s="553"/>
      <c r="F92" s="553"/>
      <c r="G92" s="553"/>
      <c r="H92" s="553"/>
      <c r="I92" s="553"/>
      <c r="J92" s="553"/>
      <c r="K92" s="553"/>
      <c r="L92" s="579"/>
      <c r="M92" s="580"/>
      <c r="N92" s="1150"/>
      <c r="O92" s="1150"/>
      <c r="P92" s="2620"/>
      <c r="Q92" s="503"/>
    </row>
    <row r="93" spans="1:17" ht="15.75" thickBot="1">
      <c r="A93" s="533"/>
      <c r="B93" s="542"/>
      <c r="C93" s="535"/>
      <c r="D93" s="535"/>
      <c r="E93" s="535"/>
      <c r="F93" s="535"/>
      <c r="G93" s="535"/>
      <c r="H93" s="535"/>
      <c r="I93" s="535"/>
      <c r="J93" s="535"/>
      <c r="K93" s="535"/>
      <c r="L93" s="535"/>
      <c r="M93" s="536"/>
      <c r="N93" s="1151"/>
      <c r="O93" s="1151"/>
      <c r="P93" s="2620"/>
      <c r="Q93" s="503"/>
    </row>
    <row r="94" spans="1:17" ht="15.75" thickTop="1">
      <c r="A94" s="533"/>
      <c r="B94" s="537">
        <f>B29</f>
        <v>111</v>
      </c>
      <c r="C94" s="553"/>
      <c r="D94" s="553"/>
      <c r="E94" s="553"/>
      <c r="F94" s="553"/>
      <c r="G94" s="582"/>
      <c r="H94" s="582"/>
      <c r="I94" s="582"/>
      <c r="J94" s="582"/>
      <c r="K94" s="583"/>
      <c r="L94" s="584"/>
      <c r="M94" s="585"/>
      <c r="N94" s="1150"/>
      <c r="O94" s="1150"/>
      <c r="P94" s="2620"/>
      <c r="Q94" s="503"/>
    </row>
    <row r="95" spans="1:17" ht="15.75" thickBot="1">
      <c r="A95" s="533"/>
      <c r="B95" s="542"/>
      <c r="C95" s="559"/>
      <c r="D95" s="535"/>
      <c r="E95" s="535"/>
      <c r="F95" s="535"/>
      <c r="G95" s="535"/>
      <c r="H95" s="535"/>
      <c r="I95" s="535"/>
      <c r="J95" s="535"/>
      <c r="K95" s="535"/>
      <c r="L95" s="535"/>
      <c r="M95" s="536"/>
      <c r="N95" s="1151"/>
      <c r="O95" s="1151"/>
      <c r="P95" s="2620"/>
      <c r="Q95" s="503"/>
    </row>
    <row r="96" spans="1:17" ht="15.75" thickTop="1">
      <c r="A96" s="533"/>
      <c r="B96" s="537">
        <f>B30</f>
        <v>111</v>
      </c>
      <c r="C96" s="553"/>
      <c r="D96" s="553"/>
      <c r="E96" s="553"/>
      <c r="F96" s="553"/>
      <c r="G96" s="582"/>
      <c r="H96" s="582"/>
      <c r="I96" s="582"/>
      <c r="J96" s="582"/>
      <c r="K96" s="583"/>
      <c r="L96" s="584"/>
      <c r="M96" s="585"/>
      <c r="N96" s="1150"/>
      <c r="O96" s="1150"/>
      <c r="P96" s="2620"/>
      <c r="Q96" s="503"/>
    </row>
    <row r="97" spans="1:17" ht="15.75" thickBot="1">
      <c r="A97" s="533"/>
      <c r="B97" s="542"/>
      <c r="C97" s="559"/>
      <c r="D97" s="535"/>
      <c r="E97" s="535"/>
      <c r="F97" s="535"/>
      <c r="G97" s="535"/>
      <c r="H97" s="535"/>
      <c r="I97" s="535"/>
      <c r="J97" s="535"/>
      <c r="K97" s="535"/>
      <c r="L97" s="535"/>
      <c r="M97" s="536"/>
      <c r="N97" s="1151"/>
      <c r="O97" s="1151"/>
      <c r="P97" s="2620"/>
      <c r="Q97" s="503"/>
    </row>
    <row r="98" spans="1:17" ht="15.75" thickTop="1">
      <c r="A98" s="533"/>
      <c r="B98" s="545">
        <f>B31</f>
        <v>111</v>
      </c>
      <c r="C98" s="553"/>
      <c r="D98" s="553"/>
      <c r="E98" s="553"/>
      <c r="F98" s="553"/>
      <c r="G98" s="586"/>
      <c r="H98" s="586"/>
      <c r="I98" s="586"/>
      <c r="J98" s="586"/>
      <c r="K98" s="587"/>
      <c r="L98" s="588"/>
      <c r="M98" s="589"/>
      <c r="N98" s="1150"/>
      <c r="O98" s="1150"/>
      <c r="P98" s="2620"/>
      <c r="Q98" s="503"/>
    </row>
    <row r="99" spans="1:17" ht="15.75" thickBot="1">
      <c r="A99" s="2626"/>
      <c r="B99" s="568"/>
      <c r="C99" s="569"/>
      <c r="D99" s="569"/>
      <c r="E99" s="569"/>
      <c r="F99" s="569"/>
      <c r="G99" s="590"/>
      <c r="H99" s="590"/>
      <c r="I99" s="590"/>
      <c r="J99" s="590"/>
      <c r="K99" s="590"/>
      <c r="L99" s="590"/>
      <c r="M99" s="591"/>
      <c r="N99" s="1151"/>
      <c r="O99" s="1151"/>
      <c r="P99" s="2620"/>
      <c r="Q99" s="503"/>
    </row>
    <row r="100" spans="1:17">
      <c r="A100" s="526" t="s">
        <v>2555</v>
      </c>
      <c r="B100" s="527" t="s">
        <v>2673</v>
      </c>
      <c r="C100" s="529"/>
      <c r="D100" s="529"/>
      <c r="E100" s="529"/>
      <c r="F100" s="529"/>
      <c r="G100" s="529"/>
      <c r="H100" s="529"/>
      <c r="I100" s="529"/>
      <c r="J100" s="529"/>
      <c r="K100" s="530"/>
      <c r="L100" s="531"/>
      <c r="M100" s="532"/>
      <c r="N100" s="1150"/>
      <c r="O100" s="1150"/>
      <c r="P100" s="262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0"/>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0"/>
      <c r="Q102" s="503"/>
    </row>
    <row r="103" spans="1:17" s="470" customFormat="1">
      <c r="A103" s="592"/>
      <c r="B103" s="593"/>
      <c r="C103" s="594"/>
      <c r="D103" s="594"/>
      <c r="E103" s="594"/>
      <c r="F103" s="594"/>
      <c r="G103" s="594"/>
      <c r="H103" s="594"/>
      <c r="I103" s="594"/>
      <c r="J103" s="595"/>
      <c r="K103" s="595"/>
      <c r="L103" s="596"/>
      <c r="M103" s="597"/>
      <c r="N103" s="1152"/>
      <c r="O103" s="1152"/>
      <c r="P103" s="2621"/>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1"/>
      <c r="Q104" s="558"/>
    </row>
    <row r="105" spans="1:17" ht="15" thickTop="1">
      <c r="A105" s="598"/>
      <c r="B105" s="537" t="s">
        <v>2606</v>
      </c>
      <c r="C105" s="553"/>
      <c r="D105" s="553"/>
      <c r="E105" s="582"/>
      <c r="F105" s="582"/>
      <c r="G105" s="582"/>
      <c r="H105" s="582"/>
      <c r="I105" s="582"/>
      <c r="J105" s="582"/>
      <c r="K105" s="583"/>
      <c r="L105" s="584"/>
      <c r="M105" s="585"/>
      <c r="N105" s="1150"/>
      <c r="O105" s="1150"/>
      <c r="P105" s="262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0"/>
      <c r="Q106" s="503"/>
    </row>
    <row r="107" spans="1:17" ht="15" thickTop="1">
      <c r="A107" s="598"/>
      <c r="B107" s="537" t="s">
        <v>2608</v>
      </c>
      <c r="C107" s="553"/>
      <c r="D107" s="553"/>
      <c r="E107" s="553"/>
      <c r="F107" s="582"/>
      <c r="G107" s="582"/>
      <c r="H107" s="582"/>
      <c r="I107" s="582"/>
      <c r="J107" s="582"/>
      <c r="K107" s="583"/>
      <c r="L107" s="584"/>
      <c r="M107" s="585"/>
      <c r="N107" s="1150"/>
      <c r="O107" s="1150"/>
      <c r="P107" s="262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0"/>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0"/>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0"/>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1"/>
      <c r="Q113" s="558"/>
    </row>
    <row r="114" spans="1:17" ht="15" thickTop="1">
      <c r="A114" s="598"/>
      <c r="B114" s="537" t="s">
        <v>2674</v>
      </c>
      <c r="C114" s="553"/>
      <c r="D114" s="553"/>
      <c r="E114" s="582"/>
      <c r="F114" s="582"/>
      <c r="G114" s="582"/>
      <c r="H114" s="582"/>
      <c r="I114" s="582"/>
      <c r="J114" s="582"/>
      <c r="K114" s="583"/>
      <c r="L114" s="584"/>
      <c r="M114" s="585"/>
      <c r="N114" s="1150"/>
      <c r="O114" s="1150"/>
      <c r="P114" s="262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0"/>
      <c r="Q115" s="503"/>
    </row>
    <row r="116" spans="1:17" ht="15" thickTop="1">
      <c r="A116" s="598"/>
      <c r="B116" s="537" t="s">
        <v>2675</v>
      </c>
      <c r="C116" s="553"/>
      <c r="D116" s="553"/>
      <c r="E116" s="553"/>
      <c r="F116" s="553"/>
      <c r="G116" s="553"/>
      <c r="H116" s="582"/>
      <c r="I116" s="582"/>
      <c r="J116" s="582"/>
      <c r="K116" s="583"/>
      <c r="L116" s="584"/>
      <c r="M116" s="585"/>
      <c r="N116" s="1150"/>
      <c r="O116" s="1150"/>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0"/>
      <c r="Q117" s="503"/>
    </row>
    <row r="118" spans="1:17" ht="15" thickTop="1">
      <c r="A118" s="598"/>
      <c r="B118" s="537" t="s">
        <v>2676</v>
      </c>
      <c r="C118" s="626"/>
      <c r="D118" s="626"/>
      <c r="E118" s="626"/>
      <c r="F118" s="626"/>
      <c r="G118" s="626"/>
      <c r="H118" s="554"/>
      <c r="I118" s="554"/>
      <c r="J118" s="554"/>
      <c r="K118" s="554"/>
      <c r="L118" s="555"/>
      <c r="M118" s="556"/>
      <c r="N118" s="1150"/>
      <c r="O118" s="1150"/>
      <c r="P118" s="2620"/>
      <c r="Q118" s="503"/>
    </row>
    <row r="119" spans="1:17" ht="15.75" thickBot="1">
      <c r="A119" s="533"/>
      <c r="B119" s="542"/>
      <c r="C119" s="559"/>
      <c r="D119" s="535"/>
      <c r="E119" s="535"/>
      <c r="F119" s="535"/>
      <c r="G119" s="535"/>
      <c r="H119" s="535"/>
      <c r="I119" s="535"/>
      <c r="J119" s="535"/>
      <c r="K119" s="535"/>
      <c r="L119" s="535"/>
      <c r="M119" s="536"/>
      <c r="N119" s="1151"/>
      <c r="O119" s="1151"/>
      <c r="P119" s="2620"/>
      <c r="Q119" s="503"/>
    </row>
    <row r="120" spans="1:17" s="470" customFormat="1" ht="15" thickTop="1">
      <c r="A120" s="592"/>
      <c r="B120" s="537" t="s">
        <v>2677</v>
      </c>
      <c r="C120" s="582"/>
      <c r="D120" s="582"/>
      <c r="E120" s="582"/>
      <c r="F120" s="582"/>
      <c r="G120" s="554"/>
      <c r="H120" s="554"/>
      <c r="I120" s="554"/>
      <c r="J120" s="554"/>
      <c r="K120" s="554"/>
      <c r="L120" s="555"/>
      <c r="M120" s="556"/>
      <c r="N120" s="1152"/>
      <c r="O120" s="1152"/>
      <c r="P120" s="262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1"/>
      <c r="Q121" s="558"/>
    </row>
    <row r="122" spans="1:17" ht="15" thickTop="1">
      <c r="A122" s="598"/>
      <c r="B122" s="537" t="s">
        <v>2612</v>
      </c>
      <c r="C122" s="553"/>
      <c r="D122" s="553"/>
      <c r="E122" s="553"/>
      <c r="F122" s="582"/>
      <c r="G122" s="582"/>
      <c r="H122" s="582"/>
      <c r="I122" s="582"/>
      <c r="J122" s="582"/>
      <c r="K122" s="583"/>
      <c r="L122" s="584"/>
      <c r="M122" s="585"/>
      <c r="N122" s="1150"/>
      <c r="O122" s="1150"/>
      <c r="P122" s="262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0"/>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0"/>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1"/>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1"/>
      <c r="Q127" s="558"/>
    </row>
    <row r="128" spans="1:17" ht="15" thickTop="1">
      <c r="A128" s="598"/>
      <c r="B128" s="537">
        <f>B45</f>
        <v>111</v>
      </c>
      <c r="C128" s="553"/>
      <c r="D128" s="553"/>
      <c r="E128" s="553"/>
      <c r="F128" s="553"/>
      <c r="G128" s="582"/>
      <c r="H128" s="582"/>
      <c r="I128" s="582"/>
      <c r="J128" s="582"/>
      <c r="K128" s="583"/>
      <c r="L128" s="584"/>
      <c r="M128" s="585"/>
      <c r="N128" s="1150"/>
      <c r="O128" s="1150"/>
      <c r="P128" s="2620"/>
      <c r="Q128" s="503"/>
    </row>
    <row r="129" spans="1:17" ht="15.75" thickBot="1">
      <c r="A129" s="533"/>
      <c r="B129" s="542"/>
      <c r="C129" s="559"/>
      <c r="D129" s="535"/>
      <c r="E129" s="535"/>
      <c r="F129" s="535"/>
      <c r="G129" s="535"/>
      <c r="H129" s="535"/>
      <c r="I129" s="535"/>
      <c r="J129" s="535"/>
      <c r="K129" s="535"/>
      <c r="L129" s="535"/>
      <c r="M129" s="536"/>
      <c r="N129" s="1151"/>
      <c r="O129" s="1151"/>
      <c r="P129" s="2620"/>
      <c r="Q129" s="503"/>
    </row>
    <row r="130" spans="1:17" ht="15" thickTop="1">
      <c r="A130" s="598"/>
      <c r="B130" s="545">
        <f>B46</f>
        <v>111</v>
      </c>
      <c r="C130" s="553"/>
      <c r="D130" s="553"/>
      <c r="E130" s="553"/>
      <c r="F130" s="553"/>
      <c r="G130" s="586"/>
      <c r="H130" s="586"/>
      <c r="I130" s="586"/>
      <c r="J130" s="586"/>
      <c r="K130" s="522"/>
      <c r="L130" s="523"/>
      <c r="M130" s="589"/>
      <c r="N130" s="1150"/>
      <c r="O130" s="1150"/>
      <c r="P130" s="2620"/>
      <c r="Q130" s="503"/>
    </row>
    <row r="131" spans="1:17" ht="15.75" thickBot="1">
      <c r="A131" s="2626"/>
      <c r="B131" s="568"/>
      <c r="C131" s="569"/>
      <c r="D131" s="569"/>
      <c r="E131" s="569"/>
      <c r="F131" s="569"/>
      <c r="G131" s="590"/>
      <c r="H131" s="590"/>
      <c r="I131" s="590"/>
      <c r="J131" s="590"/>
      <c r="K131" s="590"/>
      <c r="L131" s="590"/>
      <c r="M131" s="591"/>
      <c r="N131" s="1151"/>
      <c r="O131" s="1151"/>
      <c r="P131" s="262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sqref="A1:XFD1048576"/>
    </sheetView>
  </sheetViews>
  <sheetFormatPr defaultColWidth="8.875" defaultRowHeight="14.25"/>
  <cols>
    <col min="1" max="1" width="10.5" style="402" customWidth="1"/>
    <col min="2" max="3" width="15.62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1121"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659" t="s">
        <v>2678</v>
      </c>
      <c r="C1" s="1616" t="s">
        <v>2522</v>
      </c>
      <c r="D1" s="1617"/>
      <c r="E1" s="1626"/>
      <c r="F1" s="2576"/>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IF(C2="——",ROUND(C50*D3/10000,0),ROUND(C50*D3/10000,0)-D2)</f>
        <v>#DIV/0!</v>
      </c>
      <c r="C2" s="2578"/>
      <c r="D2" s="1363" t="e">
        <f ca="1">SUMIF(INDIRECT("'"&amp;F2&amp;"'"&amp;"!A:A"),"承租人权益价值",INDIRECT("'"&amp;F2&amp;"'"&amp;"!c:c"))</f>
        <v>#REF!</v>
      </c>
      <c r="E2" s="2579" t="s">
        <v>2323</v>
      </c>
      <c r="F2" s="2580"/>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2636</v>
      </c>
      <c r="D3" s="398">
        <f>IF(D1="",'数据-汇总表'!E3,SUMIF('数据-汇总表'!$C19:$C33,D1,'数据-汇总表'!$E19:$E33))</f>
        <v>135929.18</v>
      </c>
      <c r="E3" s="2653"/>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2637</v>
      </c>
      <c r="B4" s="401"/>
      <c r="C4" s="3187" t="s">
        <v>2638</v>
      </c>
      <c r="D4" s="3200"/>
      <c r="E4" s="3201" t="s">
        <v>2639</v>
      </c>
      <c r="F4" s="3202"/>
      <c r="G4" s="3187" t="s">
        <v>2640</v>
      </c>
      <c r="H4" s="3200"/>
      <c r="I4" s="3187" t="s">
        <v>2641</v>
      </c>
      <c r="J4" s="3200"/>
      <c r="K4" s="609" t="s">
        <v>2642</v>
      </c>
      <c r="L4" s="1128"/>
      <c r="M4" s="1129"/>
      <c r="N4" s="1129"/>
      <c r="O4" s="1129"/>
      <c r="P4" s="3270" t="s">
        <v>2643</v>
      </c>
      <c r="Q4" s="3271"/>
      <c r="R4" s="3274" t="s">
        <v>2639</v>
      </c>
      <c r="S4" s="3275"/>
      <c r="T4" s="3274" t="s">
        <v>2640</v>
      </c>
      <c r="U4" s="3275"/>
      <c r="V4" s="3276" t="s">
        <v>2641</v>
      </c>
      <c r="W4" s="3276"/>
      <c r="X4" s="2660"/>
      <c r="Y4" s="3274" t="s">
        <v>2643</v>
      </c>
      <c r="Z4" s="3275"/>
      <c r="AA4" s="3278" t="s">
        <v>2639</v>
      </c>
      <c r="AB4" s="3278" t="s">
        <v>2640</v>
      </c>
      <c r="AC4" s="3267" t="s">
        <v>2641</v>
      </c>
    </row>
    <row r="5" spans="1:29" ht="15">
      <c r="A5" s="403"/>
      <c r="B5" s="404"/>
      <c r="C5" s="3217" t="s">
        <v>2534</v>
      </c>
      <c r="D5" s="3218"/>
      <c r="E5" s="3224" t="s">
        <v>2535</v>
      </c>
      <c r="F5" s="3225"/>
      <c r="G5" s="3217" t="s">
        <v>2536</v>
      </c>
      <c r="H5" s="3218"/>
      <c r="I5" s="3217" t="s">
        <v>2537</v>
      </c>
      <c r="J5" s="3218"/>
      <c r="K5" s="609"/>
      <c r="L5" s="1128"/>
      <c r="M5" s="1129"/>
      <c r="N5" s="1129"/>
      <c r="O5" s="1129"/>
      <c r="P5" s="3272"/>
      <c r="Q5" s="3206"/>
      <c r="R5" s="3211"/>
      <c r="S5" s="3212"/>
      <c r="T5" s="3211"/>
      <c r="U5" s="3212"/>
      <c r="V5" s="3196"/>
      <c r="W5" s="3196"/>
      <c r="X5" s="1809"/>
      <c r="Y5" s="3211"/>
      <c r="Z5" s="3212"/>
      <c r="AA5" s="3198"/>
      <c r="AB5" s="3198"/>
      <c r="AC5" s="3268"/>
    </row>
    <row r="6" spans="1:29" ht="15.75" thickBot="1">
      <c r="A6" s="405"/>
      <c r="B6" s="406"/>
      <c r="C6" s="3215" t="s">
        <v>2538</v>
      </c>
      <c r="D6" s="3216"/>
      <c r="E6" s="3222" t="s">
        <v>2538</v>
      </c>
      <c r="F6" s="3223"/>
      <c r="G6" s="3215" t="s">
        <v>2538</v>
      </c>
      <c r="H6" s="3216"/>
      <c r="I6" s="3215" t="s">
        <v>2538</v>
      </c>
      <c r="J6" s="3216"/>
      <c r="K6" s="609" t="s">
        <v>2539</v>
      </c>
      <c r="L6" s="1128"/>
      <c r="M6" s="1129"/>
      <c r="N6" s="1129"/>
      <c r="O6" s="1129"/>
      <c r="P6" s="3273"/>
      <c r="Q6" s="3208"/>
      <c r="R6" s="3211"/>
      <c r="S6" s="3212"/>
      <c r="T6" s="3213"/>
      <c r="U6" s="3214"/>
      <c r="V6" s="3196"/>
      <c r="W6" s="3196"/>
      <c r="X6" s="1809"/>
      <c r="Y6" s="3213"/>
      <c r="Z6" s="3214"/>
      <c r="AA6" s="3199"/>
      <c r="AB6" s="3199"/>
      <c r="AC6" s="3269"/>
    </row>
    <row r="7" spans="1:29" s="116" customFormat="1" ht="15.75" thickBot="1">
      <c r="A7" s="407" t="s">
        <v>2540</v>
      </c>
      <c r="B7" s="408"/>
      <c r="C7" s="409">
        <f>'数据-取费表'!B2</f>
        <v>43424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77" t="s">
        <v>2541</v>
      </c>
      <c r="Q7" s="3221"/>
      <c r="R7" s="769" t="s">
        <v>17</v>
      </c>
      <c r="S7" s="770">
        <f t="shared" ref="S7:S15" si="0">F7</f>
        <v>0</v>
      </c>
      <c r="T7" s="769" t="s">
        <v>17</v>
      </c>
      <c r="U7" s="770">
        <f t="shared" ref="U7:U15" si="1">H7</f>
        <v>0</v>
      </c>
      <c r="V7" s="769" t="s">
        <v>17</v>
      </c>
      <c r="W7" s="770">
        <f t="shared" ref="W7:W15" si="2">J7</f>
        <v>0</v>
      </c>
      <c r="X7" s="771"/>
      <c r="Y7" s="3219" t="s">
        <v>2541</v>
      </c>
      <c r="Z7" s="3220"/>
      <c r="AA7" s="772" t="e">
        <f>D7/F7</f>
        <v>#DIV/0!</v>
      </c>
      <c r="AB7" s="772" t="e">
        <f>D7/H7</f>
        <v>#DIV/0!</v>
      </c>
      <c r="AC7" s="2661"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77" t="s">
        <v>2544</v>
      </c>
      <c r="Q8" s="3220"/>
      <c r="R8" s="769" t="s">
        <v>17</v>
      </c>
      <c r="S8" s="770">
        <f t="shared" si="0"/>
        <v>0</v>
      </c>
      <c r="T8" s="769" t="s">
        <v>17</v>
      </c>
      <c r="U8" s="770">
        <f t="shared" si="1"/>
        <v>0</v>
      </c>
      <c r="V8" s="769" t="s">
        <v>17</v>
      </c>
      <c r="W8" s="770">
        <f t="shared" si="2"/>
        <v>0</v>
      </c>
      <c r="X8" s="771"/>
      <c r="Y8" s="3219" t="s">
        <v>2544</v>
      </c>
      <c r="Z8" s="3220"/>
      <c r="AA8" s="772" t="e">
        <f t="shared" ref="AA8:AA47" si="3">D8/F8</f>
        <v>#DIV/0!</v>
      </c>
      <c r="AB8" s="772" t="e">
        <f t="shared" ref="AB8:AB47" si="4">D8/H8</f>
        <v>#DIV/0!</v>
      </c>
      <c r="AC8" s="2661" t="e">
        <f t="shared" ref="AC8:AC47" si="5">D8/J8</f>
        <v>#DIV/0!</v>
      </c>
    </row>
    <row r="9" spans="1:29" s="116"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89" t="s">
        <v>2547</v>
      </c>
      <c r="Q9" s="1791" t="str">
        <f t="shared" ref="Q9:Q15" si="6">B9</f>
        <v>用途</v>
      </c>
      <c r="R9" s="769" t="s">
        <v>17</v>
      </c>
      <c r="S9" s="770">
        <f t="shared" si="0"/>
        <v>100</v>
      </c>
      <c r="T9" s="769" t="s">
        <v>17</v>
      </c>
      <c r="U9" s="770">
        <f t="shared" si="1"/>
        <v>100</v>
      </c>
      <c r="V9" s="769" t="s">
        <v>17</v>
      </c>
      <c r="W9" s="770">
        <f t="shared" si="2"/>
        <v>100</v>
      </c>
      <c r="X9" s="771"/>
      <c r="Y9" s="3033" t="s">
        <v>2548</v>
      </c>
      <c r="Z9" s="55" t="str">
        <f t="shared" ref="Z9:Z15" si="7">Q9</f>
        <v>用途</v>
      </c>
      <c r="AA9" s="772">
        <f t="shared" si="3"/>
        <v>1</v>
      </c>
      <c r="AB9" s="772">
        <f t="shared" si="4"/>
        <v>1</v>
      </c>
      <c r="AC9" s="2661">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89"/>
      <c r="Q10" s="1791"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61">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89"/>
      <c r="Q11" s="1791"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61" t="e">
        <f t="shared" si="5"/>
        <v>#N/A</v>
      </c>
    </row>
    <row r="12" spans="1:29" s="116" customFormat="1" ht="15">
      <c r="A12" s="430"/>
      <c r="B12" s="2592">
        <v>111</v>
      </c>
      <c r="C12" s="431"/>
      <c r="D12" s="432">
        <v>100</v>
      </c>
      <c r="E12" s="431"/>
      <c r="F12" s="135">
        <f>SUMIF(71:71,E12,72:72)-SUMIF(71:71,C12,72:72)+100</f>
        <v>100</v>
      </c>
      <c r="G12" s="2662"/>
      <c r="H12" s="135">
        <f>SUMIF(71:71,G12,72:72)-SUMIF(71:71,C12,72:72)+100</f>
        <v>100</v>
      </c>
      <c r="I12" s="431"/>
      <c r="J12" s="135">
        <f>SUMIF(71:71,I12,72:72)-SUMIF(71:71,C12,72:72)+100</f>
        <v>100</v>
      </c>
      <c r="K12" s="612"/>
      <c r="L12" s="1130"/>
      <c r="M12" s="1131"/>
      <c r="N12" s="1131"/>
      <c r="O12" s="1131"/>
      <c r="P12" s="3189"/>
      <c r="Q12" s="1791">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61">
        <f>D12/J12</f>
        <v>1</v>
      </c>
    </row>
    <row r="13" spans="1:29" ht="15">
      <c r="A13" s="427"/>
      <c r="B13" s="2592">
        <v>111</v>
      </c>
      <c r="C13" s="433"/>
      <c r="D13" s="434">
        <v>100</v>
      </c>
      <c r="E13" s="431"/>
      <c r="F13" s="135">
        <f>SUMIF(73:73,E13,74:74)-SUMIF(73:73,C13,74:74)+100</f>
        <v>100</v>
      </c>
      <c r="G13" s="2662"/>
      <c r="H13" s="434">
        <f>SUMIF(73:73,G13,74:74)-SUMIF(73:73,C13,74:74)+100</f>
        <v>100</v>
      </c>
      <c r="I13" s="431"/>
      <c r="J13" s="434">
        <f>SUMIF(73:73,I13,74:74)-SUMIF(73:73,C13,74:74)+100</f>
        <v>100</v>
      </c>
      <c r="K13" s="612"/>
      <c r="L13" s="1138"/>
      <c r="M13" s="1129"/>
      <c r="N13" s="1129"/>
      <c r="O13" s="1129"/>
      <c r="P13" s="3189"/>
      <c r="Q13" s="1791">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61">
        <f t="shared" si="5"/>
        <v>1</v>
      </c>
    </row>
    <row r="14" spans="1:29" ht="15.75" thickBot="1">
      <c r="A14" s="435"/>
      <c r="B14" s="2594">
        <v>111</v>
      </c>
      <c r="C14" s="436"/>
      <c r="D14" s="437">
        <v>100</v>
      </c>
      <c r="E14" s="627"/>
      <c r="F14" s="437">
        <f>SUMIF(75:75,E14,76:76)-SUMIF(75:75,C14,76:76)+100</f>
        <v>100</v>
      </c>
      <c r="G14" s="2662"/>
      <c r="H14" s="437">
        <f>SUMIF(75:75,G14,76:76)-SUMIF(75:75,C14,76:76)+100</f>
        <v>100</v>
      </c>
      <c r="I14" s="431"/>
      <c r="J14" s="437">
        <f>SUMIF(75:75,I14,76:76)-SUMIF(75:75,C14,76:76)+100</f>
        <v>100</v>
      </c>
      <c r="K14" s="612"/>
      <c r="L14" s="1138"/>
      <c r="M14" s="1129"/>
      <c r="N14" s="1129"/>
      <c r="O14" s="1129"/>
      <c r="P14" s="3189"/>
      <c r="Q14" s="1791">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61">
        <f t="shared" si="5"/>
        <v>1</v>
      </c>
    </row>
    <row r="15" spans="1:29" ht="71.25">
      <c r="A15" s="439" t="s">
        <v>2551</v>
      </c>
      <c r="B15" s="628" t="s">
        <v>2679</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3" t="s">
        <v>2552</v>
      </c>
      <c r="Q15" s="1806" t="str">
        <f t="shared" si="6"/>
        <v>办公集聚程度</v>
      </c>
      <c r="R15" s="773" t="s">
        <v>17</v>
      </c>
      <c r="S15" s="774">
        <f t="shared" si="0"/>
        <v>100</v>
      </c>
      <c r="T15" s="773" t="s">
        <v>17</v>
      </c>
      <c r="U15" s="774">
        <f t="shared" si="1"/>
        <v>100</v>
      </c>
      <c r="V15" s="773" t="s">
        <v>17</v>
      </c>
      <c r="W15" s="774">
        <f t="shared" si="2"/>
        <v>100</v>
      </c>
      <c r="X15" s="1809"/>
      <c r="Y15" s="3192" t="s">
        <v>2552</v>
      </c>
      <c r="Z15" s="1810" t="str">
        <f t="shared" si="7"/>
        <v>办公集聚程度</v>
      </c>
      <c r="AA15" s="1807">
        <f t="shared" si="3"/>
        <v>1</v>
      </c>
      <c r="AB15" s="1807">
        <f t="shared" si="4"/>
        <v>1</v>
      </c>
      <c r="AC15" s="2664">
        <f t="shared" si="5"/>
        <v>1</v>
      </c>
    </row>
    <row r="16" spans="1:29" ht="15">
      <c r="A16" s="427"/>
      <c r="B16" s="629"/>
      <c r="C16" s="2603"/>
      <c r="D16" s="447"/>
      <c r="E16" s="446"/>
      <c r="F16" s="447"/>
      <c r="G16" s="2603"/>
      <c r="H16" s="449"/>
      <c r="I16" s="446"/>
      <c r="J16" s="447"/>
      <c r="K16" s="614"/>
      <c r="L16" s="1138"/>
      <c r="M16" s="1129"/>
      <c r="N16" s="1129"/>
      <c r="O16" s="1129"/>
      <c r="P16" s="3234"/>
      <c r="Q16" s="1806"/>
      <c r="R16" s="773"/>
      <c r="S16" s="774"/>
      <c r="T16" s="773"/>
      <c r="U16" s="774"/>
      <c r="V16" s="773"/>
      <c r="W16" s="774"/>
      <c r="X16" s="1809"/>
      <c r="Y16" s="3193"/>
      <c r="Z16" s="1810"/>
      <c r="AA16" s="1807">
        <v>1</v>
      </c>
      <c r="AB16" s="1807">
        <v>1</v>
      </c>
      <c r="AC16" s="2664">
        <v>1</v>
      </c>
    </row>
    <row r="17" spans="1:29" ht="71.25">
      <c r="A17" s="427"/>
      <c r="B17" s="630" t="s">
        <v>2093</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4"/>
      <c r="Q17" s="1806" t="str">
        <f>B17</f>
        <v>交通便捷度</v>
      </c>
      <c r="R17" s="773" t="s">
        <v>17</v>
      </c>
      <c r="S17" s="774">
        <f>F17</f>
        <v>100</v>
      </c>
      <c r="T17" s="773" t="s">
        <v>17</v>
      </c>
      <c r="U17" s="774">
        <f>H17</f>
        <v>100</v>
      </c>
      <c r="V17" s="773" t="s">
        <v>17</v>
      </c>
      <c r="W17" s="774">
        <f>J17</f>
        <v>100</v>
      </c>
      <c r="X17" s="1809"/>
      <c r="Y17" s="3193"/>
      <c r="Z17" s="1810" t="str">
        <f>Q17</f>
        <v>交通便捷度</v>
      </c>
      <c r="AA17" s="1807">
        <f t="shared" si="3"/>
        <v>1</v>
      </c>
      <c r="AB17" s="1807">
        <f t="shared" si="4"/>
        <v>1</v>
      </c>
      <c r="AC17" s="2664">
        <f t="shared" si="5"/>
        <v>1</v>
      </c>
    </row>
    <row r="18" spans="1:29" ht="15">
      <c r="A18" s="427"/>
      <c r="B18" s="631"/>
      <c r="C18" s="2666"/>
      <c r="D18" s="449"/>
      <c r="E18" s="2601"/>
      <c r="F18" s="449"/>
      <c r="G18" s="2602"/>
      <c r="H18" s="447"/>
      <c r="I18" s="2602"/>
      <c r="J18" s="447"/>
      <c r="K18" s="614"/>
      <c r="L18" s="1138"/>
      <c r="M18" s="1129"/>
      <c r="N18" s="1129"/>
      <c r="O18" s="1129"/>
      <c r="P18" s="3234"/>
      <c r="Q18" s="1806"/>
      <c r="R18" s="773"/>
      <c r="S18" s="774"/>
      <c r="T18" s="773"/>
      <c r="U18" s="774"/>
      <c r="V18" s="773"/>
      <c r="W18" s="774"/>
      <c r="X18" s="1809"/>
      <c r="Y18" s="3193"/>
      <c r="Z18" s="1810"/>
      <c r="AA18" s="1807">
        <v>1</v>
      </c>
      <c r="AB18" s="1807">
        <v>1</v>
      </c>
      <c r="AC18" s="2664">
        <v>1</v>
      </c>
    </row>
    <row r="19" spans="1:29" ht="42.75">
      <c r="A19" s="427"/>
      <c r="B19" s="630" t="s">
        <v>2680</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4"/>
      <c r="Q19" s="1806" t="str">
        <f>B19</f>
        <v>公共配套设施</v>
      </c>
      <c r="R19" s="773" t="s">
        <v>17</v>
      </c>
      <c r="S19" s="774">
        <f>F19</f>
        <v>100</v>
      </c>
      <c r="T19" s="773" t="s">
        <v>17</v>
      </c>
      <c r="U19" s="774">
        <f>H19</f>
        <v>100</v>
      </c>
      <c r="V19" s="773" t="s">
        <v>17</v>
      </c>
      <c r="W19" s="774">
        <f>J19</f>
        <v>100</v>
      </c>
      <c r="X19" s="1809"/>
      <c r="Y19" s="3193"/>
      <c r="Z19" s="1810" t="str">
        <f>Q19</f>
        <v>公共配套设施</v>
      </c>
      <c r="AA19" s="1807">
        <f t="shared" si="3"/>
        <v>1</v>
      </c>
      <c r="AB19" s="1807">
        <f t="shared" si="4"/>
        <v>1</v>
      </c>
      <c r="AC19" s="2664">
        <f t="shared" si="5"/>
        <v>1</v>
      </c>
    </row>
    <row r="20" spans="1:29" ht="15">
      <c r="A20" s="427"/>
      <c r="B20" s="631"/>
      <c r="C20" s="2603"/>
      <c r="D20" s="447"/>
      <c r="E20" s="2596"/>
      <c r="F20" s="447"/>
      <c r="G20" s="2597"/>
      <c r="H20" s="447"/>
      <c r="I20" s="2597"/>
      <c r="J20" s="447"/>
      <c r="K20" s="614"/>
      <c r="L20" s="1138"/>
      <c r="M20" s="1129"/>
      <c r="N20" s="1129"/>
      <c r="O20" s="1129"/>
      <c r="P20" s="3234"/>
      <c r="Q20" s="1806"/>
      <c r="R20" s="773"/>
      <c r="S20" s="774"/>
      <c r="T20" s="773"/>
      <c r="U20" s="774"/>
      <c r="V20" s="773"/>
      <c r="W20" s="774"/>
      <c r="X20" s="1809"/>
      <c r="Y20" s="3193"/>
      <c r="Z20" s="1810"/>
      <c r="AA20" s="1807">
        <v>1</v>
      </c>
      <c r="AB20" s="1807">
        <v>1</v>
      </c>
      <c r="AC20" s="2664">
        <v>1</v>
      </c>
    </row>
    <row r="21" spans="1:29" ht="28.5">
      <c r="A21" s="427"/>
      <c r="B21" s="632" t="s">
        <v>2681</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4"/>
      <c r="Q21" s="1806" t="str">
        <f>B21</f>
        <v>基础设施水平</v>
      </c>
      <c r="R21" s="773" t="s">
        <v>17</v>
      </c>
      <c r="S21" s="774">
        <f>F21</f>
        <v>100</v>
      </c>
      <c r="T21" s="773" t="s">
        <v>17</v>
      </c>
      <c r="U21" s="774">
        <f>H21</f>
        <v>100</v>
      </c>
      <c r="V21" s="773" t="s">
        <v>17</v>
      </c>
      <c r="W21" s="774">
        <f>J21</f>
        <v>100</v>
      </c>
      <c r="X21" s="1809"/>
      <c r="Y21" s="3193"/>
      <c r="Z21" s="1810" t="str">
        <f>Q21</f>
        <v>基础设施水平</v>
      </c>
      <c r="AA21" s="1807">
        <f t="shared" ref="AA21" si="8">D21/F21</f>
        <v>1</v>
      </c>
      <c r="AB21" s="1807">
        <f t="shared" ref="AB21" si="9">D21/H21</f>
        <v>1</v>
      </c>
      <c r="AC21" s="2664">
        <f t="shared" ref="AC21" si="10">D21/J21</f>
        <v>1</v>
      </c>
    </row>
    <row r="22" spans="1:29" ht="15">
      <c r="A22" s="427"/>
      <c r="B22" s="632"/>
      <c r="C22" s="2666"/>
      <c r="D22" s="447"/>
      <c r="E22" s="446"/>
      <c r="F22" s="447"/>
      <c r="G22" s="2603"/>
      <c r="H22" s="447"/>
      <c r="I22" s="2603"/>
      <c r="J22" s="447"/>
      <c r="K22" s="1381"/>
      <c r="L22" s="1138"/>
      <c r="M22" s="1129"/>
      <c r="N22" s="1129"/>
      <c r="O22" s="1129"/>
      <c r="P22" s="3234"/>
      <c r="Q22" s="1806"/>
      <c r="R22" s="773"/>
      <c r="S22" s="774"/>
      <c r="T22" s="773"/>
      <c r="U22" s="774"/>
      <c r="V22" s="773"/>
      <c r="W22" s="774"/>
      <c r="X22" s="1809"/>
      <c r="Y22" s="3193"/>
      <c r="Z22" s="1810"/>
      <c r="AA22" s="1807">
        <v>1</v>
      </c>
      <c r="AB22" s="1807">
        <v>1</v>
      </c>
      <c r="AC22" s="2664">
        <v>1</v>
      </c>
    </row>
    <row r="23" spans="1:29" ht="42.75">
      <c r="A23" s="427"/>
      <c r="B23" s="630" t="s">
        <v>2682</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4"/>
      <c r="Q23" s="1806" t="str">
        <f>B23</f>
        <v>环境质量</v>
      </c>
      <c r="R23" s="773" t="s">
        <v>17</v>
      </c>
      <c r="S23" s="774">
        <f>F23</f>
        <v>100</v>
      </c>
      <c r="T23" s="773" t="s">
        <v>17</v>
      </c>
      <c r="U23" s="774">
        <f>H23</f>
        <v>100</v>
      </c>
      <c r="V23" s="773" t="s">
        <v>17</v>
      </c>
      <c r="W23" s="774">
        <f>J23</f>
        <v>100</v>
      </c>
      <c r="X23" s="1809"/>
      <c r="Y23" s="3193"/>
      <c r="Z23" s="1810" t="str">
        <f>Q23</f>
        <v>环境质量</v>
      </c>
      <c r="AA23" s="1807">
        <f t="shared" si="3"/>
        <v>1</v>
      </c>
      <c r="AB23" s="1807">
        <f t="shared" si="4"/>
        <v>1</v>
      </c>
      <c r="AC23" s="2664">
        <f t="shared" si="5"/>
        <v>1</v>
      </c>
    </row>
    <row r="24" spans="1:29" ht="15">
      <c r="A24" s="427"/>
      <c r="B24" s="632"/>
      <c r="C24" s="2603"/>
      <c r="D24" s="447"/>
      <c r="E24" s="2596"/>
      <c r="F24" s="447"/>
      <c r="G24" s="2597"/>
      <c r="H24" s="447"/>
      <c r="I24" s="2597"/>
      <c r="J24" s="447"/>
      <c r="K24" s="614"/>
      <c r="L24" s="1138"/>
      <c r="M24" s="1129"/>
      <c r="N24" s="1129"/>
      <c r="O24" s="1129"/>
      <c r="P24" s="3234"/>
      <c r="Q24" s="1806"/>
      <c r="R24" s="773"/>
      <c r="S24" s="774"/>
      <c r="T24" s="773"/>
      <c r="U24" s="774"/>
      <c r="V24" s="773"/>
      <c r="W24" s="774"/>
      <c r="X24" s="1809"/>
      <c r="Y24" s="3193"/>
      <c r="Z24" s="1810"/>
      <c r="AA24" s="1807">
        <v>1</v>
      </c>
      <c r="AB24" s="1807">
        <v>1</v>
      </c>
      <c r="AC24" s="2664">
        <v>1</v>
      </c>
    </row>
    <row r="25" spans="1:29" ht="27">
      <c r="A25" s="403"/>
      <c r="B25" s="630" t="s">
        <v>2683</v>
      </c>
      <c r="C25" s="2607"/>
      <c r="D25" s="434">
        <v>100</v>
      </c>
      <c r="E25" s="433"/>
      <c r="F25" s="434">
        <f>SUMIF(87:87,E26,88:88)-SUMIF(87:87,C26,88:88)+100</f>
        <v>100</v>
      </c>
      <c r="G25" s="2607"/>
      <c r="H25" s="434">
        <f>SUMIF(87:87,G26,88:88)-SUMIF(87:87,C26,88:88)+100</f>
        <v>100</v>
      </c>
      <c r="I25" s="433"/>
      <c r="J25" s="434">
        <f>SUMIF(87:87,I26,88:88)-SUMIF(87:87,C26,88:88)+100</f>
        <v>100</v>
      </c>
      <c r="K25" s="613"/>
      <c r="L25" s="1138"/>
      <c r="M25" s="1129"/>
      <c r="N25" s="1129"/>
      <c r="O25" s="1129"/>
      <c r="P25" s="3234"/>
      <c r="Q25" s="1806" t="str">
        <f>B25</f>
        <v>毗邻道路的类型与等级</v>
      </c>
      <c r="R25" s="773" t="s">
        <v>17</v>
      </c>
      <c r="S25" s="774">
        <f>F25</f>
        <v>100</v>
      </c>
      <c r="T25" s="773" t="s">
        <v>17</v>
      </c>
      <c r="U25" s="774">
        <f>H25</f>
        <v>100</v>
      </c>
      <c r="V25" s="773" t="s">
        <v>17</v>
      </c>
      <c r="W25" s="774">
        <f>J25</f>
        <v>100</v>
      </c>
      <c r="X25" s="1809"/>
      <c r="Y25" s="3193"/>
      <c r="Z25" s="1810" t="str">
        <f>Q25</f>
        <v>毗邻道路的类型与等级</v>
      </c>
      <c r="AA25" s="1807">
        <f t="shared" si="3"/>
        <v>1</v>
      </c>
      <c r="AB25" s="1807">
        <f t="shared" si="4"/>
        <v>1</v>
      </c>
      <c r="AC25" s="2664">
        <f t="shared" si="5"/>
        <v>1</v>
      </c>
    </row>
    <row r="26" spans="1:29" ht="15">
      <c r="A26" s="403"/>
      <c r="B26" s="631"/>
      <c r="C26" s="633"/>
      <c r="D26" s="434"/>
      <c r="E26" s="615"/>
      <c r="F26" s="434"/>
      <c r="G26" s="633"/>
      <c r="H26" s="434"/>
      <c r="I26" s="615"/>
      <c r="J26" s="434"/>
      <c r="K26" s="614"/>
      <c r="L26" s="1138"/>
      <c r="M26" s="1129"/>
      <c r="N26" s="1129"/>
      <c r="O26" s="1129"/>
      <c r="P26" s="3234"/>
      <c r="Q26" s="1806"/>
      <c r="R26" s="773"/>
      <c r="S26" s="774"/>
      <c r="T26" s="773"/>
      <c r="U26" s="774"/>
      <c r="V26" s="773"/>
      <c r="W26" s="774"/>
      <c r="X26" s="1809"/>
      <c r="Y26" s="3193"/>
      <c r="Z26" s="1810"/>
      <c r="AA26" s="1807">
        <v>1</v>
      </c>
      <c r="AB26" s="1807">
        <v>1</v>
      </c>
      <c r="AC26" s="2664">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4"/>
      <c r="Q27" s="1806" t="str">
        <f t="shared" ref="Q27:Q47" si="11">B27</f>
        <v>楼层</v>
      </c>
      <c r="R27" s="773" t="s">
        <v>17</v>
      </c>
      <c r="S27" s="774">
        <f>F27</f>
        <v>100</v>
      </c>
      <c r="T27" s="773" t="s">
        <v>17</v>
      </c>
      <c r="U27" s="774">
        <f>H27</f>
        <v>100</v>
      </c>
      <c r="V27" s="773" t="s">
        <v>17</v>
      </c>
      <c r="W27" s="774">
        <f>J27</f>
        <v>100</v>
      </c>
      <c r="X27" s="1809"/>
      <c r="Y27" s="3193"/>
      <c r="Z27" s="1810" t="str">
        <f>Q27</f>
        <v>楼层</v>
      </c>
      <c r="AA27" s="1807">
        <f t="shared" si="3"/>
        <v>1</v>
      </c>
      <c r="AB27" s="1807">
        <f t="shared" si="4"/>
        <v>1</v>
      </c>
      <c r="AC27" s="2664">
        <f t="shared" si="5"/>
        <v>1</v>
      </c>
    </row>
    <row r="28" spans="1:29" s="116" customFormat="1" ht="15">
      <c r="A28" s="430"/>
      <c r="B28" s="630" t="s">
        <v>2684</v>
      </c>
      <c r="C28" s="2667"/>
      <c r="D28" s="461">
        <v>100</v>
      </c>
      <c r="E28" s="2655"/>
      <c r="F28" s="461">
        <f>SUMIF(91:91,E28,92:92)-SUMIF(91:91,C28,92:92)+100</f>
        <v>100</v>
      </c>
      <c r="G28" s="2667"/>
      <c r="H28" s="461">
        <f>SUMIF(91:91,G28,92:92)-SUMIF(91:91,C28,92:92)+100</f>
        <v>100</v>
      </c>
      <c r="I28" s="2655"/>
      <c r="J28" s="461">
        <f>SUMIF(91:91,I28,92:92)-SUMIF(91:91,C28,92:92)+100</f>
        <v>100</v>
      </c>
      <c r="K28" s="611"/>
      <c r="L28" s="1130"/>
      <c r="M28" s="1131"/>
      <c r="N28" s="1131"/>
      <c r="O28" s="1131"/>
      <c r="P28" s="3234"/>
      <c r="Q28" s="1791" t="str">
        <f t="shared" si="11"/>
        <v>朝向</v>
      </c>
      <c r="R28" s="769" t="s">
        <v>17</v>
      </c>
      <c r="S28" s="770">
        <f>F28</f>
        <v>100</v>
      </c>
      <c r="T28" s="769" t="s">
        <v>17</v>
      </c>
      <c r="U28" s="770">
        <f>H28</f>
        <v>100</v>
      </c>
      <c r="V28" s="769" t="s">
        <v>17</v>
      </c>
      <c r="W28" s="770">
        <f>J28</f>
        <v>100</v>
      </c>
      <c r="X28" s="771"/>
      <c r="Y28" s="3193"/>
      <c r="Z28" s="55" t="str">
        <f>Q28</f>
        <v>朝向</v>
      </c>
      <c r="AA28" s="1807">
        <f>D28/F28</f>
        <v>1</v>
      </c>
      <c r="AB28" s="1807">
        <f>D28/H28</f>
        <v>1</v>
      </c>
      <c r="AC28" s="2664">
        <f>D28/J28</f>
        <v>1</v>
      </c>
    </row>
    <row r="29" spans="1:29" ht="15">
      <c r="A29" s="427"/>
      <c r="B29" s="2668">
        <v>111</v>
      </c>
      <c r="C29" s="2607"/>
      <c r="D29" s="434">
        <v>100</v>
      </c>
      <c r="E29" s="431"/>
      <c r="F29" s="434">
        <f>SUMIF(93:93,E29,94:94)-SUMIF(93:93,C29,94:94)+100</f>
        <v>100</v>
      </c>
      <c r="G29" s="2662"/>
      <c r="H29" s="434">
        <f>SUMIF(93:93,G29,94:94)-SUMIF(93:93,C29,94:94)+100</f>
        <v>100</v>
      </c>
      <c r="I29" s="431"/>
      <c r="J29" s="434">
        <f>SUMIF(93:93,I29,94:94)-SUMIF(93:93,C29,94:94)+100</f>
        <v>100</v>
      </c>
      <c r="K29" s="612"/>
      <c r="L29" s="1138"/>
      <c r="M29" s="1129"/>
      <c r="N29" s="1129"/>
      <c r="O29" s="1129"/>
      <c r="P29" s="3234"/>
      <c r="Q29" s="1806">
        <f t="shared" si="11"/>
        <v>111</v>
      </c>
      <c r="R29" s="773" t="s">
        <v>17</v>
      </c>
      <c r="S29" s="774">
        <f t="shared" ref="S29:S47" si="12">F29</f>
        <v>100</v>
      </c>
      <c r="T29" s="773" t="s">
        <v>17</v>
      </c>
      <c r="U29" s="774">
        <f t="shared" ref="U29:U47" si="13">H29</f>
        <v>100</v>
      </c>
      <c r="V29" s="773" t="s">
        <v>17</v>
      </c>
      <c r="W29" s="774">
        <f t="shared" ref="W29:W47" si="14">J29</f>
        <v>100</v>
      </c>
      <c r="X29" s="1809"/>
      <c r="Y29" s="3193"/>
      <c r="Z29" s="1810">
        <f t="shared" ref="Z29:Z47" si="15">Q29</f>
        <v>111</v>
      </c>
      <c r="AA29" s="1807">
        <f t="shared" si="3"/>
        <v>1</v>
      </c>
      <c r="AB29" s="1807">
        <f t="shared" si="4"/>
        <v>1</v>
      </c>
      <c r="AC29" s="2664">
        <f t="shared" si="5"/>
        <v>1</v>
      </c>
    </row>
    <row r="30" spans="1:29" ht="15">
      <c r="A30" s="427"/>
      <c r="B30" s="2668">
        <v>111</v>
      </c>
      <c r="C30" s="2607"/>
      <c r="D30" s="434">
        <v>100</v>
      </c>
      <c r="E30" s="431"/>
      <c r="F30" s="434">
        <f>SUMIF(95:95,E30,96:96)-SUMIF(95:95,C30,96:96)+100</f>
        <v>100</v>
      </c>
      <c r="G30" s="2662"/>
      <c r="H30" s="434">
        <f>SUMIF(95:95,G30,96:96)-SUMIF(95:95,C30,96:96)+100</f>
        <v>100</v>
      </c>
      <c r="I30" s="431"/>
      <c r="J30" s="434">
        <f>SUMIF(95:95,I30,96:96)-SUMIF(95:95,C30,96:96)+100</f>
        <v>100</v>
      </c>
      <c r="K30" s="612"/>
      <c r="L30" s="1138"/>
      <c r="M30" s="1129"/>
      <c r="N30" s="1129"/>
      <c r="O30" s="1129"/>
      <c r="P30" s="3234"/>
      <c r="Q30" s="1806">
        <f t="shared" si="11"/>
        <v>111</v>
      </c>
      <c r="R30" s="773" t="s">
        <v>17</v>
      </c>
      <c r="S30" s="774">
        <f t="shared" si="12"/>
        <v>100</v>
      </c>
      <c r="T30" s="773" t="s">
        <v>17</v>
      </c>
      <c r="U30" s="774">
        <f t="shared" si="13"/>
        <v>100</v>
      </c>
      <c r="V30" s="773" t="s">
        <v>17</v>
      </c>
      <c r="W30" s="774">
        <f t="shared" si="14"/>
        <v>100</v>
      </c>
      <c r="X30" s="1809"/>
      <c r="Y30" s="3193"/>
      <c r="Z30" s="1810">
        <f t="shared" si="15"/>
        <v>111</v>
      </c>
      <c r="AA30" s="1807">
        <f t="shared" si="3"/>
        <v>1</v>
      </c>
      <c r="AB30" s="1807">
        <f t="shared" si="4"/>
        <v>1</v>
      </c>
      <c r="AC30" s="2664">
        <f t="shared" si="5"/>
        <v>1</v>
      </c>
    </row>
    <row r="31" spans="1:29" ht="15">
      <c r="A31" s="427"/>
      <c r="B31" s="2668">
        <v>111</v>
      </c>
      <c r="C31" s="2607"/>
      <c r="D31" s="434">
        <v>100</v>
      </c>
      <c r="E31" s="431"/>
      <c r="F31" s="434">
        <f>SUMIF(97:97,E31,98:98)-SUMIF(97:97,C31,98:98)+100</f>
        <v>100</v>
      </c>
      <c r="G31" s="2662"/>
      <c r="H31" s="434">
        <f>SUMIF(97:97,G31,98:98)-SUMIF(97:97,C31,98:98)+100</f>
        <v>100</v>
      </c>
      <c r="I31" s="431"/>
      <c r="J31" s="434">
        <f>SUMIF(97:97,I31,98:98)-SUMIF(97:97,C31,98:98)+100</f>
        <v>100</v>
      </c>
      <c r="K31" s="612"/>
      <c r="L31" s="1138"/>
      <c r="M31" s="1129"/>
      <c r="N31" s="1129"/>
      <c r="O31" s="1129"/>
      <c r="P31" s="3234"/>
      <c r="Q31" s="1806">
        <f t="shared" si="11"/>
        <v>111</v>
      </c>
      <c r="R31" s="773" t="s">
        <v>17</v>
      </c>
      <c r="S31" s="774">
        <f t="shared" si="12"/>
        <v>100</v>
      </c>
      <c r="T31" s="773" t="s">
        <v>17</v>
      </c>
      <c r="U31" s="774">
        <f t="shared" si="13"/>
        <v>100</v>
      </c>
      <c r="V31" s="773" t="s">
        <v>17</v>
      </c>
      <c r="W31" s="774">
        <f t="shared" si="14"/>
        <v>100</v>
      </c>
      <c r="X31" s="1809"/>
      <c r="Y31" s="3193"/>
      <c r="Z31" s="1810">
        <f t="shared" si="15"/>
        <v>111</v>
      </c>
      <c r="AA31" s="1807">
        <f t="shared" si="3"/>
        <v>1</v>
      </c>
      <c r="AB31" s="1807">
        <f t="shared" si="4"/>
        <v>1</v>
      </c>
      <c r="AC31" s="2664">
        <f t="shared" si="5"/>
        <v>1</v>
      </c>
    </row>
    <row r="32" spans="1:29" ht="15.75" thickBot="1">
      <c r="A32" s="435"/>
      <c r="B32" s="634">
        <v>111</v>
      </c>
      <c r="C32" s="2608"/>
      <c r="D32" s="437">
        <v>100</v>
      </c>
      <c r="E32" s="627"/>
      <c r="F32" s="437">
        <f>SUMIF(99:99,E32,100:100)-SUMIF(99:99,C32,100:100)+100</f>
        <v>100</v>
      </c>
      <c r="G32" s="2662"/>
      <c r="H32" s="437">
        <f>SUMIF(99:99,G32,100:100)-SUMIF(99:99,C32,100:100)+100</f>
        <v>100</v>
      </c>
      <c r="I32" s="431"/>
      <c r="J32" s="437">
        <f>SUMIF(99:99,I32,100:100)-SUMIF(99:99,C32,100:100)+100</f>
        <v>100</v>
      </c>
      <c r="K32" s="612"/>
      <c r="L32" s="1138"/>
      <c r="M32" s="1129"/>
      <c r="N32" s="1129"/>
      <c r="O32" s="1129"/>
      <c r="P32" s="3234"/>
      <c r="Q32" s="1806">
        <f t="shared" si="11"/>
        <v>111</v>
      </c>
      <c r="R32" s="773" t="s">
        <v>17</v>
      </c>
      <c r="S32" s="774">
        <f t="shared" si="12"/>
        <v>100</v>
      </c>
      <c r="T32" s="773" t="s">
        <v>17</v>
      </c>
      <c r="U32" s="774">
        <f t="shared" si="13"/>
        <v>100</v>
      </c>
      <c r="V32" s="773" t="s">
        <v>17</v>
      </c>
      <c r="W32" s="774">
        <f t="shared" si="14"/>
        <v>100</v>
      </c>
      <c r="X32" s="1809"/>
      <c r="Y32" s="3193"/>
      <c r="Z32" s="1810">
        <f t="shared" si="15"/>
        <v>111</v>
      </c>
      <c r="AA32" s="1807">
        <f t="shared" si="3"/>
        <v>1</v>
      </c>
      <c r="AB32" s="1807">
        <f t="shared" si="4"/>
        <v>1</v>
      </c>
      <c r="AC32" s="2664">
        <f t="shared" si="5"/>
        <v>1</v>
      </c>
    </row>
    <row r="33" spans="1:29" ht="15">
      <c r="A33" s="439" t="s">
        <v>2555</v>
      </c>
      <c r="B33" s="71" t="s">
        <v>2685</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8"/>
      <c r="M33" s="1129"/>
      <c r="N33" s="1129"/>
      <c r="O33" s="1129"/>
      <c r="P33" s="3229" t="s">
        <v>2557</v>
      </c>
      <c r="Q33" s="1806" t="str">
        <f t="shared" si="11"/>
        <v>建筑类型</v>
      </c>
      <c r="R33" s="773" t="s">
        <v>17</v>
      </c>
      <c r="S33" s="774">
        <f t="shared" si="12"/>
        <v>100</v>
      </c>
      <c r="T33" s="773" t="s">
        <v>17</v>
      </c>
      <c r="U33" s="774">
        <f t="shared" si="13"/>
        <v>100</v>
      </c>
      <c r="V33" s="773" t="s">
        <v>17</v>
      </c>
      <c r="W33" s="774">
        <f t="shared" si="14"/>
        <v>100</v>
      </c>
      <c r="X33" s="1809"/>
      <c r="Y33" s="3195" t="s">
        <v>2557</v>
      </c>
      <c r="Z33" s="1810" t="str">
        <f t="shared" si="15"/>
        <v>建筑类型</v>
      </c>
      <c r="AA33" s="1807">
        <f t="shared" si="3"/>
        <v>1</v>
      </c>
      <c r="AB33" s="1807">
        <f t="shared" si="4"/>
        <v>1</v>
      </c>
      <c r="AC33" s="2664">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30"/>
      <c r="Q34" s="775" t="str">
        <f t="shared" si="11"/>
        <v>项目建筑规模</v>
      </c>
      <c r="R34" s="776" t="s">
        <v>17</v>
      </c>
      <c r="S34" s="777" t="e">
        <f t="shared" si="12"/>
        <v>#N/A</v>
      </c>
      <c r="T34" s="776" t="s">
        <v>17</v>
      </c>
      <c r="U34" s="777" t="e">
        <f t="shared" si="13"/>
        <v>#N/A</v>
      </c>
      <c r="V34" s="776" t="s">
        <v>17</v>
      </c>
      <c r="W34" s="777" t="e">
        <f t="shared" si="14"/>
        <v>#N/A</v>
      </c>
      <c r="X34" s="778"/>
      <c r="Y34" s="3195"/>
      <c r="Z34" s="779" t="str">
        <f t="shared" si="15"/>
        <v>项目建筑规模</v>
      </c>
      <c r="AA34" s="1807" t="e">
        <f t="shared" si="3"/>
        <v>#N/A</v>
      </c>
      <c r="AB34" s="1807" t="e">
        <f t="shared" si="4"/>
        <v>#N/A</v>
      </c>
      <c r="AC34" s="2664"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30"/>
      <c r="Q35" s="1806" t="str">
        <f t="shared" si="11"/>
        <v>建筑结构</v>
      </c>
      <c r="R35" s="773" t="s">
        <v>17</v>
      </c>
      <c r="S35" s="774">
        <f t="shared" si="12"/>
        <v>100</v>
      </c>
      <c r="T35" s="773" t="s">
        <v>17</v>
      </c>
      <c r="U35" s="774">
        <f t="shared" si="13"/>
        <v>100</v>
      </c>
      <c r="V35" s="773" t="s">
        <v>17</v>
      </c>
      <c r="W35" s="774">
        <f t="shared" si="14"/>
        <v>100</v>
      </c>
      <c r="X35" s="1809"/>
      <c r="Y35" s="3195"/>
      <c r="Z35" s="1810" t="str">
        <f t="shared" si="15"/>
        <v>建筑结构</v>
      </c>
      <c r="AA35" s="1807">
        <f t="shared" si="3"/>
        <v>1</v>
      </c>
      <c r="AB35" s="1807">
        <f t="shared" si="4"/>
        <v>1</v>
      </c>
      <c r="AC35" s="2664">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30"/>
      <c r="Q36" s="1806" t="str">
        <f t="shared" si="11"/>
        <v>公共部分装修</v>
      </c>
      <c r="R36" s="773" t="s">
        <v>17</v>
      </c>
      <c r="S36" s="774">
        <f t="shared" si="12"/>
        <v>100</v>
      </c>
      <c r="T36" s="773" t="s">
        <v>17</v>
      </c>
      <c r="U36" s="774">
        <f t="shared" si="13"/>
        <v>100</v>
      </c>
      <c r="V36" s="773" t="s">
        <v>17</v>
      </c>
      <c r="W36" s="774">
        <f t="shared" si="14"/>
        <v>100</v>
      </c>
      <c r="X36" s="1809"/>
      <c r="Y36" s="3195"/>
      <c r="Z36" s="1810" t="str">
        <f t="shared" si="15"/>
        <v>公共部分装修</v>
      </c>
      <c r="AA36" s="1807">
        <f t="shared" si="3"/>
        <v>1</v>
      </c>
      <c r="AB36" s="1807">
        <f t="shared" si="4"/>
        <v>1</v>
      </c>
      <c r="AC36" s="2664">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30"/>
      <c r="Q37" s="1806" t="str">
        <f t="shared" si="11"/>
        <v>成新度</v>
      </c>
      <c r="R37" s="773" t="s">
        <v>17</v>
      </c>
      <c r="S37" s="774" t="e">
        <f t="shared" si="12"/>
        <v>#N/A</v>
      </c>
      <c r="T37" s="773" t="s">
        <v>17</v>
      </c>
      <c r="U37" s="774" t="e">
        <f t="shared" si="13"/>
        <v>#N/A</v>
      </c>
      <c r="V37" s="773" t="s">
        <v>17</v>
      </c>
      <c r="W37" s="774" t="e">
        <f t="shared" si="14"/>
        <v>#N/A</v>
      </c>
      <c r="X37" s="1809"/>
      <c r="Y37" s="3195"/>
      <c r="Z37" s="1810" t="str">
        <f t="shared" si="15"/>
        <v>成新度</v>
      </c>
      <c r="AA37" s="1807" t="e">
        <f t="shared" si="3"/>
        <v>#N/A</v>
      </c>
      <c r="AB37" s="1807" t="e">
        <f t="shared" si="4"/>
        <v>#N/A</v>
      </c>
      <c r="AC37" s="2664"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30"/>
      <c r="Q38" s="1791" t="str">
        <f t="shared" si="11"/>
        <v>写字楼等级</v>
      </c>
      <c r="R38" s="769" t="s">
        <v>17</v>
      </c>
      <c r="S38" s="770">
        <f t="shared" si="12"/>
        <v>100</v>
      </c>
      <c r="T38" s="769" t="s">
        <v>17</v>
      </c>
      <c r="U38" s="770">
        <f t="shared" si="13"/>
        <v>100</v>
      </c>
      <c r="V38" s="769" t="s">
        <v>17</v>
      </c>
      <c r="W38" s="770">
        <f t="shared" si="14"/>
        <v>100</v>
      </c>
      <c r="X38" s="771"/>
      <c r="Y38" s="3195"/>
      <c r="Z38" s="55" t="str">
        <f t="shared" si="15"/>
        <v>写字楼等级</v>
      </c>
      <c r="AA38" s="772">
        <f t="shared" si="3"/>
        <v>1</v>
      </c>
      <c r="AB38" s="772">
        <f t="shared" si="4"/>
        <v>1</v>
      </c>
      <c r="AC38" s="2661">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30" t="s">
        <v>2557</v>
      </c>
      <c r="Q39" s="1806" t="str">
        <f t="shared" si="11"/>
        <v>物业管理</v>
      </c>
      <c r="R39" s="773" t="s">
        <v>17</v>
      </c>
      <c r="S39" s="774">
        <f t="shared" si="12"/>
        <v>100</v>
      </c>
      <c r="T39" s="773" t="s">
        <v>17</v>
      </c>
      <c r="U39" s="774">
        <f t="shared" si="13"/>
        <v>100</v>
      </c>
      <c r="V39" s="773" t="s">
        <v>17</v>
      </c>
      <c r="W39" s="774">
        <f t="shared" si="14"/>
        <v>100</v>
      </c>
      <c r="X39" s="1809"/>
      <c r="Y39" s="3195" t="s">
        <v>2557</v>
      </c>
      <c r="Z39" s="1810" t="str">
        <f t="shared" si="15"/>
        <v>物业管理</v>
      </c>
      <c r="AA39" s="1807">
        <f t="shared" si="3"/>
        <v>1</v>
      </c>
      <c r="AB39" s="1807">
        <f t="shared" si="4"/>
        <v>1</v>
      </c>
      <c r="AC39" s="2664">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30"/>
      <c r="Q40" s="1806" t="str">
        <f t="shared" si="11"/>
        <v>市政基础设施</v>
      </c>
      <c r="R40" s="773" t="s">
        <v>17</v>
      </c>
      <c r="S40" s="774">
        <f t="shared" si="12"/>
        <v>100</v>
      </c>
      <c r="T40" s="773" t="s">
        <v>17</v>
      </c>
      <c r="U40" s="774">
        <f t="shared" si="13"/>
        <v>100</v>
      </c>
      <c r="V40" s="773" t="s">
        <v>17</v>
      </c>
      <c r="W40" s="774">
        <f t="shared" si="14"/>
        <v>100</v>
      </c>
      <c r="X40" s="1809"/>
      <c r="Y40" s="3195"/>
      <c r="Z40" s="1810" t="str">
        <f t="shared" si="15"/>
        <v>市政基础设施</v>
      </c>
      <c r="AA40" s="1807">
        <f t="shared" si="3"/>
        <v>1</v>
      </c>
      <c r="AB40" s="1807">
        <f t="shared" si="4"/>
        <v>1</v>
      </c>
      <c r="AC40" s="2664">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30"/>
      <c r="Q41" s="1806" t="str">
        <f t="shared" si="11"/>
        <v>层高</v>
      </c>
      <c r="R41" s="773" t="s">
        <v>17</v>
      </c>
      <c r="S41" s="774">
        <f t="shared" si="12"/>
        <v>100</v>
      </c>
      <c r="T41" s="773" t="s">
        <v>17</v>
      </c>
      <c r="U41" s="774">
        <f t="shared" si="13"/>
        <v>100</v>
      </c>
      <c r="V41" s="773" t="s">
        <v>17</v>
      </c>
      <c r="W41" s="774">
        <f t="shared" si="14"/>
        <v>100</v>
      </c>
      <c r="X41" s="1809"/>
      <c r="Y41" s="3195"/>
      <c r="Z41" s="1810" t="str">
        <f t="shared" si="15"/>
        <v>层高</v>
      </c>
      <c r="AA41" s="1807">
        <f t="shared" si="3"/>
        <v>1</v>
      </c>
      <c r="AB41" s="1807">
        <f t="shared" si="4"/>
        <v>1</v>
      </c>
      <c r="AC41" s="2664">
        <f t="shared" si="5"/>
        <v>1</v>
      </c>
    </row>
    <row r="42" spans="1:29" s="470" customFormat="1" ht="15">
      <c r="A42" s="467"/>
      <c r="B42" s="1808"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30"/>
      <c r="Q42" s="775" t="str">
        <f t="shared" si="11"/>
        <v>单套建筑面积</v>
      </c>
      <c r="R42" s="776" t="s">
        <v>17</v>
      </c>
      <c r="S42" s="777">
        <f t="shared" si="12"/>
        <v>100</v>
      </c>
      <c r="T42" s="776" t="s">
        <v>17</v>
      </c>
      <c r="U42" s="777">
        <f t="shared" si="13"/>
        <v>100</v>
      </c>
      <c r="V42" s="776" t="s">
        <v>17</v>
      </c>
      <c r="W42" s="777">
        <f t="shared" si="14"/>
        <v>100</v>
      </c>
      <c r="X42" s="778"/>
      <c r="Y42" s="3195"/>
      <c r="Z42" s="779" t="str">
        <f t="shared" si="15"/>
        <v>单套建筑面积</v>
      </c>
      <c r="AA42" s="1807">
        <f t="shared" si="3"/>
        <v>1</v>
      </c>
      <c r="AB42" s="1807">
        <f t="shared" si="4"/>
        <v>1</v>
      </c>
      <c r="AC42" s="2664">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30"/>
      <c r="Q43" s="1806" t="str">
        <f t="shared" si="11"/>
        <v>内部装修</v>
      </c>
      <c r="R43" s="773" t="s">
        <v>17</v>
      </c>
      <c r="S43" s="774">
        <f t="shared" si="12"/>
        <v>100</v>
      </c>
      <c r="T43" s="773" t="s">
        <v>17</v>
      </c>
      <c r="U43" s="774">
        <f t="shared" si="13"/>
        <v>100</v>
      </c>
      <c r="V43" s="773" t="s">
        <v>17</v>
      </c>
      <c r="W43" s="774">
        <f t="shared" si="14"/>
        <v>100</v>
      </c>
      <c r="X43" s="1809"/>
      <c r="Y43" s="3195"/>
      <c r="Z43" s="1810" t="str">
        <f t="shared" si="15"/>
        <v>内部装修</v>
      </c>
      <c r="AA43" s="1807">
        <f t="shared" si="3"/>
        <v>1</v>
      </c>
      <c r="AB43" s="1807">
        <f t="shared" si="4"/>
        <v>1</v>
      </c>
      <c r="AC43" s="2664">
        <f t="shared" si="5"/>
        <v>1</v>
      </c>
    </row>
    <row r="44" spans="1:29" ht="15">
      <c r="A44" s="471"/>
      <c r="B44" s="421" t="s">
        <v>2568</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8"/>
      <c r="M44" s="1129"/>
      <c r="N44" s="1129"/>
      <c r="O44" s="1129"/>
      <c r="P44" s="3230"/>
      <c r="Q44" s="1806" t="str">
        <f t="shared" si="11"/>
        <v>内部装修维护情况</v>
      </c>
      <c r="R44" s="773" t="s">
        <v>17</v>
      </c>
      <c r="S44" s="774">
        <f t="shared" si="12"/>
        <v>100</v>
      </c>
      <c r="T44" s="773" t="s">
        <v>17</v>
      </c>
      <c r="U44" s="774">
        <f t="shared" si="13"/>
        <v>100</v>
      </c>
      <c r="V44" s="773" t="s">
        <v>17</v>
      </c>
      <c r="W44" s="774">
        <f t="shared" si="14"/>
        <v>100</v>
      </c>
      <c r="X44" s="1809"/>
      <c r="Y44" s="3195"/>
      <c r="Z44" s="1810" t="str">
        <f t="shared" si="15"/>
        <v>内部装修维护情况</v>
      </c>
      <c r="AA44" s="1807">
        <f t="shared" si="3"/>
        <v>1</v>
      </c>
      <c r="AB44" s="1807">
        <f t="shared" si="4"/>
        <v>1</v>
      </c>
      <c r="AC44" s="2664">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30"/>
      <c r="Q45" s="1791">
        <f t="shared" si="11"/>
        <v>111</v>
      </c>
      <c r="R45" s="769" t="s">
        <v>17</v>
      </c>
      <c r="S45" s="770">
        <f t="shared" si="12"/>
        <v>100</v>
      </c>
      <c r="T45" s="769" t="s">
        <v>17</v>
      </c>
      <c r="U45" s="770">
        <f t="shared" si="13"/>
        <v>100</v>
      </c>
      <c r="V45" s="769" t="s">
        <v>17</v>
      </c>
      <c r="W45" s="770">
        <f t="shared" si="14"/>
        <v>100</v>
      </c>
      <c r="X45" s="771"/>
      <c r="Y45" s="3195"/>
      <c r="Z45" s="55">
        <f t="shared" si="15"/>
        <v>111</v>
      </c>
      <c r="AA45" s="772">
        <f t="shared" si="3"/>
        <v>1</v>
      </c>
      <c r="AB45" s="772">
        <f t="shared" si="4"/>
        <v>1</v>
      </c>
      <c r="AC45" s="2661">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30"/>
      <c r="Q46" s="1806">
        <f t="shared" si="11"/>
        <v>111</v>
      </c>
      <c r="R46" s="773" t="s">
        <v>17</v>
      </c>
      <c r="S46" s="774">
        <f t="shared" si="12"/>
        <v>100</v>
      </c>
      <c r="T46" s="773" t="s">
        <v>17</v>
      </c>
      <c r="U46" s="774">
        <f t="shared" si="13"/>
        <v>100</v>
      </c>
      <c r="V46" s="773" t="s">
        <v>17</v>
      </c>
      <c r="W46" s="774">
        <f t="shared" si="14"/>
        <v>100</v>
      </c>
      <c r="X46" s="1809"/>
      <c r="Y46" s="3195"/>
      <c r="Z46" s="1810">
        <f t="shared" si="15"/>
        <v>111</v>
      </c>
      <c r="AA46" s="1807">
        <f t="shared" si="3"/>
        <v>1</v>
      </c>
      <c r="AB46" s="1807">
        <f t="shared" si="4"/>
        <v>1</v>
      </c>
      <c r="AC46" s="2664">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1"/>
      <c r="Q47" s="1806">
        <f t="shared" si="11"/>
        <v>111</v>
      </c>
      <c r="R47" s="773" t="s">
        <v>17</v>
      </c>
      <c r="S47" s="774">
        <f t="shared" si="12"/>
        <v>100</v>
      </c>
      <c r="T47" s="773" t="s">
        <v>17</v>
      </c>
      <c r="U47" s="774">
        <f t="shared" si="13"/>
        <v>100</v>
      </c>
      <c r="V47" s="773" t="s">
        <v>17</v>
      </c>
      <c r="W47" s="774">
        <f t="shared" si="14"/>
        <v>100</v>
      </c>
      <c r="X47" s="1809"/>
      <c r="Y47" s="3232"/>
      <c r="Z47" s="1810">
        <f t="shared" si="15"/>
        <v>111</v>
      </c>
      <c r="AA47" s="1807">
        <f t="shared" si="3"/>
        <v>1</v>
      </c>
      <c r="AB47" s="1807">
        <f t="shared" si="4"/>
        <v>1</v>
      </c>
      <c r="AC47" s="2664">
        <f t="shared" si="5"/>
        <v>1</v>
      </c>
    </row>
    <row r="48" spans="1:29" ht="15">
      <c r="A48" s="478" t="s">
        <v>2569</v>
      </c>
      <c r="B48" s="479"/>
      <c r="C48" s="1404" t="s">
        <v>1</v>
      </c>
      <c r="D48" s="1405"/>
      <c r="E48" s="1406"/>
      <c r="F48" s="1407"/>
      <c r="G48" s="1408"/>
      <c r="H48" s="1409"/>
      <c r="I48" s="1406"/>
      <c r="J48" s="484"/>
      <c r="K48" s="782"/>
      <c r="L48" s="1141"/>
      <c r="M48" s="1129"/>
      <c r="N48" s="1129"/>
      <c r="O48" s="1129"/>
      <c r="P48" s="3189" t="str">
        <f>A48</f>
        <v>成交单价（元/平方米）</v>
      </c>
      <c r="Q48" s="3190"/>
      <c r="R48" s="3228">
        <f>E48</f>
        <v>0</v>
      </c>
      <c r="S48" s="3228"/>
      <c r="T48" s="3228">
        <f>G48</f>
        <v>0</v>
      </c>
      <c r="U48" s="3228"/>
      <c r="V48" s="3228">
        <f>I48</f>
        <v>0</v>
      </c>
      <c r="W48" s="3228"/>
      <c r="X48" s="445"/>
      <c r="Y48" s="780"/>
      <c r="Z48" s="445"/>
      <c r="AA48" s="445"/>
      <c r="AB48" s="445"/>
      <c r="AC48" s="629"/>
    </row>
    <row r="49" spans="1:29" ht="15.75" thickBot="1">
      <c r="A49" s="485" t="s">
        <v>2661</v>
      </c>
      <c r="B49" s="486"/>
      <c r="C49" s="1410" t="e">
        <f>R50</f>
        <v>#DIV/0!</v>
      </c>
      <c r="D49" s="1411"/>
      <c r="E49" s="1412" t="e">
        <f>R49</f>
        <v>#DIV/0!</v>
      </c>
      <c r="F49" s="1412"/>
      <c r="G49" s="1410" t="e">
        <f>T49</f>
        <v>#DIV/0!</v>
      </c>
      <c r="H49" s="1411"/>
      <c r="I49" s="1412" t="e">
        <f>V49</f>
        <v>#DIV/0!</v>
      </c>
      <c r="J49" s="488"/>
      <c r="K49" s="783"/>
      <c r="L49" s="1141"/>
      <c r="M49" s="1129"/>
      <c r="N49" s="1129"/>
      <c r="O49" s="1129"/>
      <c r="P49" s="3189" t="str">
        <f>A49</f>
        <v>比较价值（元/平方米）</v>
      </c>
      <c r="Q49" s="3190"/>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5"/>
      <c r="Y49" s="445"/>
      <c r="Z49" s="445"/>
      <c r="AA49" s="445"/>
      <c r="AB49" s="445"/>
      <c r="AC49" s="629"/>
    </row>
    <row r="50" spans="1:29" ht="15.75" thickBot="1">
      <c r="A50" s="491" t="s">
        <v>2662</v>
      </c>
      <c r="B50" s="492"/>
      <c r="C50" s="1414" t="e">
        <f>R50</f>
        <v>#DIV/0!</v>
      </c>
      <c r="D50" s="1414"/>
      <c r="E50" s="1414"/>
      <c r="F50" s="1414"/>
      <c r="G50" s="1414"/>
      <c r="H50" s="1414"/>
      <c r="I50" s="1414"/>
      <c r="J50" s="493"/>
      <c r="K50" s="784"/>
      <c r="L50" s="1141"/>
      <c r="M50" s="1129"/>
      <c r="N50" s="1129"/>
      <c r="O50" s="1129"/>
      <c r="P50" s="3264" t="str">
        <f>A50</f>
        <v>估价对象XX用房的比较价值（楼面单价，元/平方米）</v>
      </c>
      <c r="Q50" s="3265"/>
      <c r="R50" s="3266" t="e">
        <f>IF(F1="售价",ROUND(AVERAGE(R49:V49),0),ROUND(AVERAGE(R49:V49),1))</f>
        <v>#DIV/0!</v>
      </c>
      <c r="S50" s="3266"/>
      <c r="T50" s="3266"/>
      <c r="U50" s="3266"/>
      <c r="V50" s="3266"/>
      <c r="W50" s="3266"/>
      <c r="X50" s="2644"/>
      <c r="Y50" s="2644"/>
      <c r="Z50" s="2644"/>
      <c r="AA50" s="2644"/>
      <c r="AB50" s="2644"/>
      <c r="AC50" s="264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0"/>
    </row>
    <row r="56" spans="1:29" s="501" customFormat="1">
      <c r="A56" s="1143"/>
      <c r="B56" s="1144"/>
      <c r="C56" s="1148"/>
      <c r="D56" s="1143"/>
      <c r="E56" s="1143"/>
      <c r="F56" s="1143"/>
      <c r="G56" s="1143"/>
      <c r="H56" s="1143"/>
      <c r="I56" s="1143"/>
      <c r="J56" s="1143"/>
      <c r="K56" s="1146"/>
      <c r="L56" s="1147"/>
      <c r="M56" s="1143"/>
      <c r="N56" s="1143"/>
      <c r="O56" s="1143"/>
      <c r="P56" s="2670"/>
    </row>
    <row r="57" spans="1:29">
      <c r="A57" s="1142"/>
      <c r="B57" s="1144"/>
      <c r="C57" s="1148"/>
      <c r="D57" s="1142"/>
      <c r="E57" s="1142"/>
      <c r="F57" s="1142"/>
      <c r="G57" s="1142"/>
      <c r="H57" s="1142"/>
      <c r="I57" s="1142"/>
      <c r="J57" s="1142"/>
      <c r="K57" s="1103"/>
      <c r="L57" s="1104"/>
      <c r="M57" s="1142"/>
      <c r="N57" s="1142"/>
      <c r="O57" s="1142"/>
    </row>
    <row r="58" spans="1:29" ht="21.75" thickBot="1">
      <c r="A58" s="762" t="s">
        <v>2666</v>
      </c>
      <c r="B58" s="758"/>
      <c r="C58" s="763"/>
      <c r="D58" s="763"/>
      <c r="E58" s="763"/>
      <c r="F58" s="764"/>
      <c r="G58" s="764"/>
      <c r="H58" s="763"/>
      <c r="I58" s="763"/>
      <c r="J58" s="763"/>
      <c r="K58" s="765"/>
      <c r="L58" s="1159"/>
      <c r="M58" s="1157"/>
      <c r="N58" s="1157"/>
      <c r="O58" s="1157"/>
      <c r="P58" s="2671"/>
      <c r="Q58" s="503"/>
    </row>
    <row r="59" spans="1:29" s="507" customFormat="1" ht="15">
      <c r="A59" s="504" t="s">
        <v>2540</v>
      </c>
      <c r="B59" s="505"/>
      <c r="C59" s="1570" t="str">
        <f>YEAR(C7)&amp;"-"&amp;MONTH(C7)</f>
        <v>2018-11</v>
      </c>
      <c r="D59" s="1571">
        <f>EDATE(C59,-1)</f>
        <v>43374</v>
      </c>
      <c r="E59" s="1571">
        <f>EDATE(D59,-1)</f>
        <v>43344</v>
      </c>
      <c r="F59" s="1571">
        <f t="shared" ref="F59:O59" si="16">EDATE(E59,-1)</f>
        <v>43313</v>
      </c>
      <c r="G59" s="1571">
        <f t="shared" si="16"/>
        <v>43282</v>
      </c>
      <c r="H59" s="1571">
        <f t="shared" si="16"/>
        <v>43252</v>
      </c>
      <c r="I59" s="1571">
        <f t="shared" si="16"/>
        <v>43221</v>
      </c>
      <c r="J59" s="1571">
        <f t="shared" si="16"/>
        <v>43191</v>
      </c>
      <c r="K59" s="1571">
        <f t="shared" si="16"/>
        <v>43160</v>
      </c>
      <c r="L59" s="1571">
        <f t="shared" si="16"/>
        <v>43132</v>
      </c>
      <c r="M59" s="1571">
        <f t="shared" si="16"/>
        <v>43101</v>
      </c>
      <c r="N59" s="1571">
        <f t="shared" si="16"/>
        <v>43070</v>
      </c>
      <c r="O59" s="1571">
        <f t="shared" si="16"/>
        <v>43040</v>
      </c>
      <c r="P59" s="1567"/>
    </row>
    <row r="60" spans="1:29" s="116" customFormat="1" ht="15">
      <c r="A60" s="508"/>
      <c r="B60" s="509"/>
      <c r="C60" s="1569">
        <v>100</v>
      </c>
      <c r="D60" s="511"/>
      <c r="E60" s="511"/>
      <c r="F60" s="511"/>
      <c r="G60" s="511"/>
      <c r="H60" s="511"/>
      <c r="I60" s="511"/>
      <c r="J60" s="511"/>
      <c r="K60" s="511"/>
      <c r="L60" s="511"/>
      <c r="M60" s="512"/>
      <c r="N60" s="511"/>
      <c r="O60" s="512"/>
      <c r="P60" s="2672"/>
    </row>
    <row r="61" spans="1:29" s="116" customFormat="1" ht="15.75" thickBot="1">
      <c r="A61" s="514" t="s">
        <v>2577</v>
      </c>
      <c r="B61" s="515"/>
      <c r="C61" s="516"/>
      <c r="D61" s="517"/>
      <c r="E61" s="517"/>
      <c r="F61" s="517"/>
      <c r="G61" s="517"/>
      <c r="H61" s="517"/>
      <c r="I61" s="517"/>
      <c r="J61" s="517"/>
      <c r="K61" s="517"/>
      <c r="L61" s="517"/>
      <c r="M61" s="518"/>
      <c r="N61" s="517"/>
      <c r="O61" s="518"/>
      <c r="P61" s="2672"/>
      <c r="Q61" s="503"/>
    </row>
    <row r="62" spans="1:29" s="116" customFormat="1" ht="15">
      <c r="A62" s="520" t="s">
        <v>2542</v>
      </c>
      <c r="B62" s="509"/>
      <c r="C62" s="521" t="s">
        <v>2644</v>
      </c>
      <c r="D62" s="522"/>
      <c r="E62" s="522"/>
      <c r="F62" s="522"/>
      <c r="G62" s="522"/>
      <c r="H62" s="522"/>
      <c r="I62" s="522"/>
      <c r="J62" s="522"/>
      <c r="K62" s="522"/>
      <c r="L62" s="523"/>
      <c r="M62" s="524"/>
      <c r="N62" s="1149"/>
      <c r="O62" s="1149"/>
      <c r="P62" s="2673"/>
      <c r="Q62" s="503"/>
    </row>
    <row r="63" spans="1:29" s="116" customFormat="1" ht="15.75" thickBot="1">
      <c r="A63" s="520"/>
      <c r="B63" s="509"/>
      <c r="C63" s="510">
        <v>100</v>
      </c>
      <c r="D63" s="511"/>
      <c r="E63" s="511"/>
      <c r="F63" s="511"/>
      <c r="G63" s="511"/>
      <c r="H63" s="511"/>
      <c r="I63" s="511"/>
      <c r="J63" s="511"/>
      <c r="K63" s="511"/>
      <c r="L63" s="511"/>
      <c r="M63" s="513"/>
      <c r="N63" s="1149"/>
      <c r="O63" s="1149"/>
      <c r="P63" s="2672"/>
      <c r="Q63" s="503"/>
    </row>
    <row r="64" spans="1:29">
      <c r="A64" s="526" t="s">
        <v>2580</v>
      </c>
      <c r="B64" s="527" t="s">
        <v>2546</v>
      </c>
      <c r="C64" s="528">
        <f>C9</f>
        <v>0</v>
      </c>
      <c r="D64" s="529"/>
      <c r="E64" s="529"/>
      <c r="F64" s="529"/>
      <c r="G64" s="529"/>
      <c r="H64" s="529"/>
      <c r="I64" s="529"/>
      <c r="J64" s="529"/>
      <c r="K64" s="530"/>
      <c r="L64" s="531"/>
      <c r="M64" s="532"/>
      <c r="N64" s="1150"/>
      <c r="O64" s="1150"/>
      <c r="P64" s="2674"/>
      <c r="Q64" s="503"/>
    </row>
    <row r="65" spans="1:17" ht="15.75" thickBot="1">
      <c r="A65" s="533"/>
      <c r="B65" s="534"/>
      <c r="C65" s="535">
        <v>100</v>
      </c>
      <c r="D65" s="535"/>
      <c r="E65" s="535"/>
      <c r="F65" s="535"/>
      <c r="G65" s="535"/>
      <c r="H65" s="535"/>
      <c r="I65" s="535"/>
      <c r="J65" s="535"/>
      <c r="K65" s="535"/>
      <c r="L65" s="535"/>
      <c r="M65" s="536"/>
      <c r="N65" s="1151"/>
      <c r="O65" s="1151"/>
      <c r="P65" s="2674"/>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4"/>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4"/>
      <c r="Q68" s="503"/>
    </row>
    <row r="69" spans="1:17" ht="15">
      <c r="A69" s="533"/>
      <c r="B69" s="547"/>
      <c r="C69" s="548"/>
      <c r="D69" s="548"/>
      <c r="E69" s="548"/>
      <c r="F69" s="548"/>
      <c r="G69" s="548"/>
      <c r="H69" s="548"/>
      <c r="I69" s="548"/>
      <c r="J69" s="548"/>
      <c r="K69" s="549"/>
      <c r="L69" s="550"/>
      <c r="M69" s="551"/>
      <c r="N69" s="1150"/>
      <c r="O69" s="1150"/>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4"/>
      <c r="Q70" s="503"/>
    </row>
    <row r="71" spans="1:17" s="470" customFormat="1" ht="15.75" thickTop="1">
      <c r="A71" s="552"/>
      <c r="B71" s="537">
        <f>B12</f>
        <v>111</v>
      </c>
      <c r="C71" s="553"/>
      <c r="D71" s="553"/>
      <c r="E71" s="553"/>
      <c r="F71" s="553"/>
      <c r="G71" s="553"/>
      <c r="H71" s="554"/>
      <c r="I71" s="554"/>
      <c r="J71" s="554"/>
      <c r="K71" s="554"/>
      <c r="L71" s="555"/>
      <c r="M71" s="556"/>
      <c r="N71" s="1152"/>
      <c r="O71" s="1152"/>
      <c r="P71" s="2675"/>
      <c r="Q71" s="558"/>
    </row>
    <row r="72" spans="1:17" s="470" customFormat="1" ht="15.75" thickBot="1">
      <c r="A72" s="552"/>
      <c r="B72" s="542"/>
      <c r="C72" s="559"/>
      <c r="D72" s="535"/>
      <c r="E72" s="535"/>
      <c r="F72" s="535"/>
      <c r="G72" s="535"/>
      <c r="H72" s="535"/>
      <c r="I72" s="535"/>
      <c r="J72" s="535"/>
      <c r="K72" s="535"/>
      <c r="L72" s="535"/>
      <c r="M72" s="536"/>
      <c r="N72" s="1151"/>
      <c r="O72" s="1151"/>
      <c r="P72" s="2675"/>
      <c r="Q72" s="558"/>
    </row>
    <row r="73" spans="1:17" s="470" customFormat="1" ht="15.75" thickTop="1">
      <c r="A73" s="552"/>
      <c r="B73" s="537">
        <f>B13</f>
        <v>111</v>
      </c>
      <c r="C73" s="553"/>
      <c r="D73" s="553"/>
      <c r="E73" s="553"/>
      <c r="F73" s="553"/>
      <c r="G73" s="553"/>
      <c r="H73" s="554"/>
      <c r="I73" s="554"/>
      <c r="J73" s="554"/>
      <c r="K73" s="554"/>
      <c r="L73" s="555"/>
      <c r="M73" s="556"/>
      <c r="N73" s="1152"/>
      <c r="O73" s="1152"/>
      <c r="P73" s="2676"/>
      <c r="Q73" s="560"/>
    </row>
    <row r="74" spans="1:17" s="470" customFormat="1" ht="15.75" thickBot="1">
      <c r="A74" s="552"/>
      <c r="B74" s="542"/>
      <c r="C74" s="559"/>
      <c r="D74" s="559"/>
      <c r="E74" s="559"/>
      <c r="F74" s="559"/>
      <c r="G74" s="559"/>
      <c r="H74" s="561"/>
      <c r="I74" s="561"/>
      <c r="J74" s="561"/>
      <c r="K74" s="561"/>
      <c r="L74" s="561"/>
      <c r="M74" s="562"/>
      <c r="N74" s="1152"/>
      <c r="O74" s="1152"/>
      <c r="P74" s="2675"/>
      <c r="Q74" s="558"/>
    </row>
    <row r="75" spans="1:17" s="470" customFormat="1" ht="15.75" thickTop="1">
      <c r="A75" s="552"/>
      <c r="B75" s="545">
        <f>B14</f>
        <v>111</v>
      </c>
      <c r="C75" s="522"/>
      <c r="D75" s="522"/>
      <c r="E75" s="522"/>
      <c r="F75" s="522"/>
      <c r="G75" s="522"/>
      <c r="H75" s="563"/>
      <c r="I75" s="563"/>
      <c r="J75" s="563"/>
      <c r="K75" s="563"/>
      <c r="L75" s="564"/>
      <c r="M75" s="565"/>
      <c r="N75" s="1152"/>
      <c r="O75" s="1152"/>
      <c r="P75" s="2677"/>
      <c r="Q75" s="558"/>
    </row>
    <row r="76" spans="1:17" s="470" customFormat="1" ht="15.75" thickBot="1">
      <c r="A76" s="567"/>
      <c r="B76" s="568"/>
      <c r="C76" s="569"/>
      <c r="D76" s="569"/>
      <c r="E76" s="569"/>
      <c r="F76" s="569"/>
      <c r="G76" s="569"/>
      <c r="H76" s="570"/>
      <c r="I76" s="570"/>
      <c r="J76" s="570"/>
      <c r="K76" s="570"/>
      <c r="L76" s="570"/>
      <c r="M76" s="571"/>
      <c r="N76" s="1152"/>
      <c r="O76" s="1152"/>
      <c r="P76" s="2675"/>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4"/>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4"/>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4"/>
      <c r="Q82" s="503"/>
    </row>
    <row r="83" spans="1:17" ht="15.75" thickTop="1">
      <c r="A83" s="533"/>
      <c r="B83" s="545" t="s">
        <v>2681</v>
      </c>
      <c r="C83" s="659" t="s">
        <v>2667</v>
      </c>
      <c r="D83" s="659" t="s">
        <v>2668</v>
      </c>
      <c r="E83" s="659" t="s">
        <v>2669</v>
      </c>
      <c r="F83" s="659" t="s">
        <v>2670</v>
      </c>
      <c r="G83" s="659" t="s">
        <v>2671</v>
      </c>
      <c r="H83" s="538"/>
      <c r="I83" s="538"/>
      <c r="J83" s="538"/>
      <c r="K83" s="538"/>
      <c r="L83" s="538"/>
      <c r="M83" s="1380"/>
      <c r="N83" s="1151"/>
      <c r="O83" s="1151"/>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4"/>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4"/>
      <c r="Q86" s="503"/>
    </row>
    <row r="87" spans="1:17" s="116" customFormat="1" ht="27.75" thickTop="1">
      <c r="A87" s="578"/>
      <c r="B87" s="537" t="s">
        <v>2691</v>
      </c>
      <c r="C87" s="553"/>
      <c r="D87" s="553"/>
      <c r="E87" s="553"/>
      <c r="F87" s="553"/>
      <c r="G87" s="553"/>
      <c r="H87" s="553"/>
      <c r="I87" s="553"/>
      <c r="J87" s="553"/>
      <c r="K87" s="553"/>
      <c r="L87" s="579"/>
      <c r="M87" s="580"/>
      <c r="N87" s="1149"/>
      <c r="O87" s="1149"/>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4"/>
      <c r="Q88" s="503"/>
    </row>
    <row r="89" spans="1:17" s="116" customFormat="1" ht="15.75" thickTop="1">
      <c r="A89" s="578"/>
      <c r="B89" s="537" t="str">
        <f>B27</f>
        <v>楼层</v>
      </c>
      <c r="C89" s="553"/>
      <c r="D89" s="553"/>
      <c r="E89" s="553"/>
      <c r="F89" s="2625"/>
      <c r="G89" s="553"/>
      <c r="H89" s="553"/>
      <c r="I89" s="553"/>
      <c r="J89" s="553"/>
      <c r="K89" s="553"/>
      <c r="L89" s="553"/>
      <c r="M89" s="580"/>
      <c r="N89" s="1149"/>
      <c r="O89" s="1149"/>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4"/>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5"/>
      <c r="Q92" s="558"/>
    </row>
    <row r="93" spans="1:17" ht="15.75" thickTop="1">
      <c r="A93" s="533"/>
      <c r="B93" s="537">
        <f>B29</f>
        <v>111</v>
      </c>
      <c r="C93" s="553"/>
      <c r="D93" s="553"/>
      <c r="E93" s="553"/>
      <c r="F93" s="553"/>
      <c r="G93" s="553"/>
      <c r="H93" s="553"/>
      <c r="I93" s="553"/>
      <c r="J93" s="553"/>
      <c r="K93" s="553"/>
      <c r="L93" s="579"/>
      <c r="M93" s="580"/>
      <c r="N93" s="1150"/>
      <c r="O93" s="1150"/>
      <c r="P93" s="2674"/>
      <c r="Q93" s="503"/>
    </row>
    <row r="94" spans="1:17" ht="15.75" thickBot="1">
      <c r="A94" s="533"/>
      <c r="B94" s="542"/>
      <c r="C94" s="559"/>
      <c r="D94" s="535"/>
      <c r="E94" s="535"/>
      <c r="F94" s="535"/>
      <c r="G94" s="535"/>
      <c r="H94" s="535"/>
      <c r="I94" s="535"/>
      <c r="J94" s="535"/>
      <c r="K94" s="535"/>
      <c r="L94" s="535"/>
      <c r="M94" s="536"/>
      <c r="N94" s="1151"/>
      <c r="O94" s="1151"/>
      <c r="P94" s="2674"/>
      <c r="Q94" s="503"/>
    </row>
    <row r="95" spans="1:17" ht="15.75" thickTop="1">
      <c r="A95" s="533"/>
      <c r="B95" s="537">
        <f>B30</f>
        <v>111</v>
      </c>
      <c r="C95" s="553"/>
      <c r="D95" s="553"/>
      <c r="E95" s="553"/>
      <c r="F95" s="553"/>
      <c r="G95" s="582"/>
      <c r="H95" s="582"/>
      <c r="I95" s="582"/>
      <c r="J95" s="582"/>
      <c r="K95" s="583"/>
      <c r="L95" s="584"/>
      <c r="M95" s="585"/>
      <c r="N95" s="1150"/>
      <c r="O95" s="1150"/>
      <c r="P95" s="2674"/>
      <c r="Q95" s="503"/>
    </row>
    <row r="96" spans="1:17" ht="15.75" thickBot="1">
      <c r="A96" s="533"/>
      <c r="B96" s="542"/>
      <c r="C96" s="559"/>
      <c r="D96" s="559"/>
      <c r="E96" s="559"/>
      <c r="F96" s="559"/>
      <c r="G96" s="535"/>
      <c r="H96" s="535"/>
      <c r="I96" s="535"/>
      <c r="J96" s="535"/>
      <c r="K96" s="535"/>
      <c r="L96" s="535"/>
      <c r="M96" s="536"/>
      <c r="N96" s="1151"/>
      <c r="O96" s="1151"/>
      <c r="P96" s="2674"/>
      <c r="Q96" s="503"/>
    </row>
    <row r="97" spans="1:17" ht="15.75" thickTop="1">
      <c r="A97" s="533"/>
      <c r="B97" s="537">
        <f>B31</f>
        <v>111</v>
      </c>
      <c r="C97" s="553"/>
      <c r="D97" s="553"/>
      <c r="E97" s="553"/>
      <c r="F97" s="553"/>
      <c r="G97" s="582"/>
      <c r="H97" s="582"/>
      <c r="I97" s="582"/>
      <c r="J97" s="582"/>
      <c r="K97" s="583"/>
      <c r="L97" s="584"/>
      <c r="M97" s="585"/>
      <c r="N97" s="1150"/>
      <c r="O97" s="1150"/>
      <c r="P97" s="2674"/>
      <c r="Q97" s="503"/>
    </row>
    <row r="98" spans="1:17" ht="15.75" thickBot="1">
      <c r="A98" s="533"/>
      <c r="B98" s="542"/>
      <c r="C98" s="559"/>
      <c r="D98" s="535"/>
      <c r="E98" s="535"/>
      <c r="F98" s="535"/>
      <c r="G98" s="535"/>
      <c r="H98" s="535"/>
      <c r="I98" s="535"/>
      <c r="J98" s="535"/>
      <c r="K98" s="535"/>
      <c r="L98" s="535"/>
      <c r="M98" s="536"/>
      <c r="N98" s="1151"/>
      <c r="O98" s="1151"/>
      <c r="P98" s="2674"/>
      <c r="Q98" s="503"/>
    </row>
    <row r="99" spans="1:17" ht="15.75" thickTop="1">
      <c r="A99" s="533"/>
      <c r="B99" s="545">
        <f>B32</f>
        <v>111</v>
      </c>
      <c r="C99" s="522"/>
      <c r="D99" s="522"/>
      <c r="E99" s="522"/>
      <c r="F99" s="522"/>
      <c r="G99" s="586"/>
      <c r="H99" s="586"/>
      <c r="I99" s="586"/>
      <c r="J99" s="586"/>
      <c r="K99" s="587"/>
      <c r="L99" s="588"/>
      <c r="M99" s="589"/>
      <c r="N99" s="1150"/>
      <c r="O99" s="1150"/>
      <c r="P99" s="2674"/>
      <c r="Q99" s="503"/>
    </row>
    <row r="100" spans="1:17" ht="15.75" thickBot="1">
      <c r="A100" s="2626"/>
      <c r="B100" s="568"/>
      <c r="C100" s="569"/>
      <c r="D100" s="569"/>
      <c r="E100" s="569"/>
      <c r="F100" s="569"/>
      <c r="G100" s="590"/>
      <c r="H100" s="590"/>
      <c r="I100" s="590"/>
      <c r="J100" s="590"/>
      <c r="K100" s="590"/>
      <c r="L100" s="590"/>
      <c r="M100" s="591"/>
      <c r="N100" s="1151"/>
      <c r="O100" s="1151"/>
      <c r="P100" s="2674"/>
      <c r="Q100" s="503"/>
    </row>
    <row r="101" spans="1:17">
      <c r="A101" s="526" t="s">
        <v>2555</v>
      </c>
      <c r="B101" s="527" t="s">
        <v>2604</v>
      </c>
      <c r="C101" s="529"/>
      <c r="D101" s="529"/>
      <c r="E101" s="529"/>
      <c r="F101" s="529"/>
      <c r="G101" s="529"/>
      <c r="H101" s="529"/>
      <c r="I101" s="529"/>
      <c r="J101" s="529"/>
      <c r="K101" s="530"/>
      <c r="L101" s="531"/>
      <c r="M101" s="532"/>
      <c r="N101" s="1150"/>
      <c r="O101" s="1150"/>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4"/>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4"/>
      <c r="Q103" s="503"/>
    </row>
    <row r="104" spans="1:17" s="470" customFormat="1">
      <c r="A104" s="592"/>
      <c r="B104" s="593"/>
      <c r="C104" s="594"/>
      <c r="D104" s="594"/>
      <c r="E104" s="594"/>
      <c r="F104" s="594"/>
      <c r="G104" s="594"/>
      <c r="H104" s="594"/>
      <c r="I104" s="594"/>
      <c r="J104" s="595"/>
      <c r="K104" s="595"/>
      <c r="L104" s="596"/>
      <c r="M104" s="597"/>
      <c r="N104" s="1152"/>
      <c r="O104" s="1152"/>
      <c r="P104" s="2675"/>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5"/>
      <c r="Q105" s="558"/>
    </row>
    <row r="106" spans="1:17" ht="15" thickTop="1">
      <c r="A106" s="598"/>
      <c r="B106" s="537" t="s">
        <v>2606</v>
      </c>
      <c r="C106" s="553"/>
      <c r="D106" s="553"/>
      <c r="E106" s="582"/>
      <c r="F106" s="582"/>
      <c r="G106" s="582"/>
      <c r="H106" s="582"/>
      <c r="I106" s="582"/>
      <c r="J106" s="582"/>
      <c r="K106" s="583"/>
      <c r="L106" s="584"/>
      <c r="M106" s="585"/>
      <c r="N106" s="1150"/>
      <c r="O106" s="1150"/>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4"/>
      <c r="Q107" s="503"/>
    </row>
    <row r="108" spans="1:17" ht="15" thickTop="1">
      <c r="A108" s="598"/>
      <c r="B108" s="537" t="s">
        <v>2608</v>
      </c>
      <c r="C108" s="553"/>
      <c r="D108" s="553"/>
      <c r="E108" s="553"/>
      <c r="F108" s="582"/>
      <c r="G108" s="582"/>
      <c r="H108" s="582"/>
      <c r="I108" s="582"/>
      <c r="J108" s="582"/>
      <c r="K108" s="583"/>
      <c r="L108" s="584"/>
      <c r="M108" s="585"/>
      <c r="N108" s="1150"/>
      <c r="O108" s="1150"/>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4"/>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4"/>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4"/>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5"/>
      <c r="Q114" s="558"/>
    </row>
    <row r="115" spans="1:17" ht="15" thickTop="1">
      <c r="A115" s="598"/>
      <c r="B115" s="537" t="s">
        <v>2609</v>
      </c>
      <c r="C115" s="553"/>
      <c r="D115" s="553"/>
      <c r="E115" s="582"/>
      <c r="F115" s="582"/>
      <c r="G115" s="582"/>
      <c r="H115" s="582"/>
      <c r="I115" s="582"/>
      <c r="J115" s="582"/>
      <c r="K115" s="583"/>
      <c r="L115" s="584"/>
      <c r="M115" s="585"/>
      <c r="N115" s="1150"/>
      <c r="O115" s="1150"/>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4"/>
      <c r="Q116" s="503"/>
    </row>
    <row r="117" spans="1:17" ht="15" thickTop="1">
      <c r="A117" s="598"/>
      <c r="B117" s="537" t="s">
        <v>2610</v>
      </c>
      <c r="C117" s="553"/>
      <c r="D117" s="553"/>
      <c r="E117" s="553"/>
      <c r="F117" s="553"/>
      <c r="G117" s="553"/>
      <c r="H117" s="582"/>
      <c r="I117" s="582"/>
      <c r="J117" s="582"/>
      <c r="K117" s="583"/>
      <c r="L117" s="584"/>
      <c r="M117" s="585"/>
      <c r="N117" s="1150"/>
      <c r="O117" s="1150"/>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4"/>
      <c r="Q118" s="503"/>
    </row>
    <row r="119" spans="1:17" ht="15" thickTop="1">
      <c r="A119" s="598"/>
      <c r="B119" s="635" t="s">
        <v>2693</v>
      </c>
      <c r="C119" s="582"/>
      <c r="D119" s="582"/>
      <c r="E119" s="582"/>
      <c r="F119" s="582"/>
      <c r="G119" s="582"/>
      <c r="H119" s="582"/>
      <c r="I119" s="582"/>
      <c r="J119" s="582"/>
      <c r="K119" s="582"/>
      <c r="L119" s="2679"/>
      <c r="M119" s="2680"/>
      <c r="N119" s="1151"/>
      <c r="O119" s="1151"/>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4"/>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75"/>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5"/>
      <c r="Q122" s="558"/>
    </row>
    <row r="123" spans="1:17" ht="15" thickTop="1">
      <c r="A123" s="598"/>
      <c r="B123" s="537" t="s">
        <v>2612</v>
      </c>
      <c r="C123" s="553"/>
      <c r="D123" s="553"/>
      <c r="E123" s="553"/>
      <c r="F123" s="582"/>
      <c r="G123" s="582"/>
      <c r="H123" s="582"/>
      <c r="I123" s="582"/>
      <c r="J123" s="582"/>
      <c r="K123" s="583"/>
      <c r="L123" s="584"/>
      <c r="M123" s="585"/>
      <c r="N123" s="1150"/>
      <c r="O123" s="1150"/>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4"/>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4"/>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5"/>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5"/>
      <c r="Q128" s="558"/>
    </row>
    <row r="129" spans="1:17" ht="15" thickTop="1">
      <c r="A129" s="598"/>
      <c r="B129" s="537">
        <f>B46</f>
        <v>111</v>
      </c>
      <c r="C129" s="553"/>
      <c r="D129" s="553"/>
      <c r="E129" s="553"/>
      <c r="F129" s="553"/>
      <c r="G129" s="582"/>
      <c r="H129" s="582"/>
      <c r="I129" s="582"/>
      <c r="J129" s="582"/>
      <c r="K129" s="583"/>
      <c r="L129" s="584"/>
      <c r="M129" s="585"/>
      <c r="N129" s="1150"/>
      <c r="O129" s="1150"/>
      <c r="P129" s="2674"/>
      <c r="Q129" s="503"/>
    </row>
    <row r="130" spans="1:17" ht="15.75" thickBot="1">
      <c r="A130" s="533"/>
      <c r="B130" s="542"/>
      <c r="C130" s="559"/>
      <c r="D130" s="559"/>
      <c r="E130" s="559"/>
      <c r="F130" s="559"/>
      <c r="G130" s="535"/>
      <c r="H130" s="535"/>
      <c r="I130" s="535"/>
      <c r="J130" s="535"/>
      <c r="K130" s="535"/>
      <c r="L130" s="535"/>
      <c r="M130" s="536"/>
      <c r="N130" s="1151"/>
      <c r="O130" s="1151"/>
      <c r="P130" s="2674"/>
      <c r="Q130" s="503"/>
    </row>
    <row r="131" spans="1:17" ht="15" thickTop="1">
      <c r="A131" s="598"/>
      <c r="B131" s="545">
        <f>B47</f>
        <v>111</v>
      </c>
      <c r="C131" s="522"/>
      <c r="D131" s="522"/>
      <c r="E131" s="522"/>
      <c r="F131" s="522"/>
      <c r="G131" s="586"/>
      <c r="H131" s="586"/>
      <c r="I131" s="586"/>
      <c r="J131" s="586"/>
      <c r="K131" s="522"/>
      <c r="L131" s="523"/>
      <c r="M131" s="589"/>
      <c r="N131" s="1150"/>
      <c r="O131" s="1150"/>
      <c r="P131" s="2674"/>
      <c r="Q131" s="503"/>
    </row>
    <row r="132" spans="1:17" ht="15.75" thickBot="1">
      <c r="A132" s="2626"/>
      <c r="B132" s="568"/>
      <c r="C132" s="569"/>
      <c r="D132" s="569"/>
      <c r="E132" s="569"/>
      <c r="F132" s="569"/>
      <c r="G132" s="590"/>
      <c r="H132" s="590"/>
      <c r="I132" s="590"/>
      <c r="J132" s="590"/>
      <c r="K132" s="590"/>
      <c r="L132" s="590"/>
      <c r="M132" s="591"/>
      <c r="N132" s="1151"/>
      <c r="O132" s="1151"/>
      <c r="P132" s="267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1621</v>
      </c>
      <c r="B1" s="1955"/>
      <c r="C1" s="1955"/>
      <c r="D1" s="1955"/>
      <c r="E1" s="1955"/>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7"/>
      <c r="B4" s="2993" t="s">
        <v>1630</v>
      </c>
      <c r="C4" s="2993"/>
      <c r="D4" s="2993"/>
      <c r="E4" s="1957"/>
    </row>
    <row r="5" spans="1:5" ht="16.5" thickTop="1">
      <c r="A5" s="1955"/>
      <c r="B5" s="2991" t="s">
        <v>1622</v>
      </c>
      <c r="C5" s="1958" t="s">
        <v>1623</v>
      </c>
      <c r="D5" s="1038">
        <f ca="1">结果表!H101</f>
        <v>91417</v>
      </c>
      <c r="E5" s="1955"/>
    </row>
    <row r="6" spans="1:5" ht="15.75">
      <c r="A6" s="1955"/>
      <c r="B6" s="2991"/>
      <c r="C6" s="1958" t="s">
        <v>1624</v>
      </c>
      <c r="D6" s="1038" t="str">
        <f ca="1">NUMBERSTRING(INT(D5*10000),2)&amp;"元整"</f>
        <v>玖亿壹仟肆佰壹拾柒万元整</v>
      </c>
      <c r="E6" s="1955"/>
    </row>
    <row r="7" spans="1:5" ht="15.75">
      <c r="A7" s="1955"/>
      <c r="B7" s="2996"/>
      <c r="C7" s="1959" t="s">
        <v>1625</v>
      </c>
      <c r="D7" s="1039">
        <f ca="1">结果表!H102</f>
        <v>6725</v>
      </c>
      <c r="E7" s="1955"/>
    </row>
    <row r="8" spans="1:5" ht="15.75">
      <c r="A8" s="1955"/>
      <c r="B8" s="2997" t="str">
        <f>结果表!E103</f>
        <v>2.估价师知悉的法定优先受偿款</v>
      </c>
      <c r="C8" s="1960" t="s">
        <v>1626</v>
      </c>
      <c r="D8" s="1039">
        <f>结果表!H103</f>
        <v>413</v>
      </c>
      <c r="E8" s="1955"/>
    </row>
    <row r="9" spans="1:5" ht="15.75">
      <c r="A9" s="1955"/>
      <c r="B9" s="2999"/>
      <c r="C9" s="1958" t="s">
        <v>1624</v>
      </c>
      <c r="D9" s="1038" t="str">
        <f>NUMBERSTRING(INT(D8*10000),2)&amp;"元整"</f>
        <v>肆佰壹拾叁万元整</v>
      </c>
      <c r="E9" s="1955"/>
    </row>
    <row r="10" spans="1:5" ht="15">
      <c r="A10" s="1955"/>
      <c r="B10" s="1961" t="s">
        <v>1629</v>
      </c>
      <c r="C10" s="1962" t="s">
        <v>1627</v>
      </c>
      <c r="D10" s="1040">
        <f>结果表!H104</f>
        <v>0</v>
      </c>
      <c r="E10" s="1955"/>
    </row>
    <row r="11" spans="1:5" ht="15">
      <c r="A11" s="1955"/>
      <c r="B11" s="1961" t="s">
        <v>1631</v>
      </c>
      <c r="C11" s="1962" t="s">
        <v>1632</v>
      </c>
      <c r="D11" s="1040">
        <f>结果表!H105</f>
        <v>0</v>
      </c>
      <c r="E11" s="1955"/>
    </row>
    <row r="12" spans="1:5" ht="15">
      <c r="A12" s="1955"/>
      <c r="B12" s="1961" t="s">
        <v>1633</v>
      </c>
      <c r="C12" s="1962" t="s">
        <v>1632</v>
      </c>
      <c r="D12" s="1040">
        <f>结果表!H106</f>
        <v>413</v>
      </c>
      <c r="E12" s="1955"/>
    </row>
    <row r="13" spans="1:5" ht="15.75">
      <c r="A13" s="1955"/>
      <c r="B13" s="2990" t="str">
        <f>结果表!E107</f>
        <v>——</v>
      </c>
      <c r="C13" s="1963" t="s">
        <v>1623</v>
      </c>
      <c r="D13" s="1041" t="str">
        <f>结果表!H107</f>
        <v>——</v>
      </c>
      <c r="E13" s="1955"/>
    </row>
    <row r="14" spans="1:5" ht="15.75">
      <c r="A14" s="1955"/>
      <c r="B14" s="2991"/>
      <c r="C14" s="1958" t="s">
        <v>1624</v>
      </c>
      <c r="D14" s="1038" t="e">
        <f>NUMBERSTRING(INT(D13*10000),2)&amp;"元整"</f>
        <v>#VALUE!</v>
      </c>
      <c r="E14" s="1955"/>
    </row>
    <row r="15" spans="1:5" ht="15">
      <c r="A15" s="1955"/>
      <c r="B15" s="2996"/>
      <c r="C15" s="1959" t="s">
        <v>1634</v>
      </c>
      <c r="D15" s="1050" t="e">
        <f>结果表!H108</f>
        <v>#VALUE!</v>
      </c>
      <c r="E15" s="1955"/>
    </row>
    <row r="16" spans="1:5" ht="15">
      <c r="A16" s="1955"/>
      <c r="B16" s="2997" t="str">
        <f>结果表!E109</f>
        <v>3.抵押担保权已注销时的房地产抵押价值</v>
      </c>
      <c r="C16" s="1963" t="s">
        <v>1635</v>
      </c>
      <c r="D16" s="1964">
        <f ca="1">结果表!H109</f>
        <v>91004</v>
      </c>
      <c r="E16" s="1955"/>
    </row>
    <row r="17" spans="1:5" ht="15.75">
      <c r="A17" s="1955"/>
      <c r="B17" s="2998"/>
      <c r="C17" s="1958" t="s">
        <v>1636</v>
      </c>
      <c r="D17" s="1038" t="str">
        <f ca="1">NUMBERSTRING(INT(D16*10000),2)&amp;"元整"</f>
        <v>玖亿壹仟零肆万元整</v>
      </c>
      <c r="E17" s="1955"/>
    </row>
    <row r="18" spans="1:5" ht="15">
      <c r="A18" s="1955"/>
      <c r="B18" s="2999"/>
      <c r="C18" s="1959" t="s">
        <v>1625</v>
      </c>
      <c r="D18" s="1050">
        <f ca="1">结果表!H110</f>
        <v>6695</v>
      </c>
      <c r="E18" s="1955"/>
    </row>
    <row r="19" spans="1:5" ht="15.75">
      <c r="A19" s="1955"/>
      <c r="B19" s="2990" t="str">
        <f>结果表!E111</f>
        <v>——</v>
      </c>
      <c r="C19" s="1963" t="s">
        <v>1623</v>
      </c>
      <c r="D19" s="1039" t="str">
        <f>结果表!H111</f>
        <v>——</v>
      </c>
      <c r="E19" s="1955"/>
    </row>
    <row r="20" spans="1:5" ht="15.75">
      <c r="A20" s="1955"/>
      <c r="B20" s="2991"/>
      <c r="C20" s="1958" t="s">
        <v>1636</v>
      </c>
      <c r="D20" s="1038" t="e">
        <f>NUMBERSTRING(INT(D19*10000),2)&amp;"元整"</f>
        <v>#VALUE!</v>
      </c>
      <c r="E20" s="1955"/>
    </row>
    <row r="21" spans="1:5" ht="15.75" thickBot="1">
      <c r="A21" s="1955"/>
      <c r="B21" s="2992"/>
      <c r="C21" s="1965" t="s">
        <v>1634</v>
      </c>
      <c r="D21" s="1051"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2520</v>
      </c>
      <c r="B1" s="2659" t="s">
        <v>2694</v>
      </c>
      <c r="C1" s="1616" t="s">
        <v>2522</v>
      </c>
      <c r="D1" s="1617"/>
      <c r="E1" s="1626"/>
      <c r="F1" s="2576"/>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IF(C2="——",ROUND(C43*D3/10000,0),ROUND(C43*D3/10000,0)-D2)</f>
        <v>#DIV/0!</v>
      </c>
      <c r="C2" s="2578"/>
      <c r="D2" s="1122" t="e">
        <f ca="1">SUMIF(INDIRECT("'"&amp;F2&amp;"'"&amp;"!A:A"),"承租人权益价值",INDIRECT("'"&amp;F2&amp;"'"&amp;"!c:c"))</f>
        <v>#REF!</v>
      </c>
      <c r="E2" s="2579" t="s">
        <v>2323</v>
      </c>
      <c r="F2" s="2580"/>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2636</v>
      </c>
      <c r="D3" s="398">
        <f>IF(D1="",'数据-汇总表'!E3,SUMIF('数据-汇总表'!$C19:$C33,D1,'数据-汇总表'!$E19:$E33))</f>
        <v>135929.18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187" t="s">
        <v>2638</v>
      </c>
      <c r="D4" s="3200"/>
      <c r="E4" s="3201" t="s">
        <v>2639</v>
      </c>
      <c r="F4" s="3202"/>
      <c r="G4" s="3187" t="s">
        <v>2640</v>
      </c>
      <c r="H4" s="3200"/>
      <c r="I4" s="3187" t="s">
        <v>2641</v>
      </c>
      <c r="J4" s="3200"/>
      <c r="K4" s="609" t="s">
        <v>2642</v>
      </c>
      <c r="L4" s="1128"/>
      <c r="M4" s="1129"/>
      <c r="N4" s="1129"/>
      <c r="O4" s="1129"/>
      <c r="P4" s="3203" t="s">
        <v>2643</v>
      </c>
      <c r="Q4" s="3204"/>
      <c r="R4" s="3209" t="s">
        <v>2639</v>
      </c>
      <c r="S4" s="3210"/>
      <c r="T4" s="3209" t="s">
        <v>2640</v>
      </c>
      <c r="U4" s="3210"/>
      <c r="V4" s="3196" t="s">
        <v>2641</v>
      </c>
      <c r="W4" s="3196"/>
      <c r="X4" s="1809"/>
      <c r="Y4" s="3209" t="s">
        <v>2643</v>
      </c>
      <c r="Z4" s="3210"/>
      <c r="AA4" s="3197" t="s">
        <v>2639</v>
      </c>
      <c r="AB4" s="3198" t="s">
        <v>2640</v>
      </c>
      <c r="AC4" s="3197" t="s">
        <v>2641</v>
      </c>
    </row>
    <row r="5" spans="1:29" ht="15">
      <c r="A5" s="403"/>
      <c r="B5" s="404"/>
      <c r="C5" s="3217" t="s">
        <v>2534</v>
      </c>
      <c r="D5" s="3218"/>
      <c r="E5" s="3224" t="s">
        <v>2535</v>
      </c>
      <c r="F5" s="3225"/>
      <c r="G5" s="3217" t="s">
        <v>2536</v>
      </c>
      <c r="H5" s="3218"/>
      <c r="I5" s="3217" t="s">
        <v>2537</v>
      </c>
      <c r="J5" s="3218"/>
      <c r="K5" s="609"/>
      <c r="L5" s="1128"/>
      <c r="M5" s="1129"/>
      <c r="N5" s="1129"/>
      <c r="O5" s="1129"/>
      <c r="P5" s="3205"/>
      <c r="Q5" s="3206"/>
      <c r="R5" s="3211"/>
      <c r="S5" s="3212"/>
      <c r="T5" s="3211"/>
      <c r="U5" s="3212"/>
      <c r="V5" s="3196"/>
      <c r="W5" s="3196"/>
      <c r="X5" s="1809"/>
      <c r="Y5" s="3211"/>
      <c r="Z5" s="3212"/>
      <c r="AA5" s="3198"/>
      <c r="AB5" s="3198"/>
      <c r="AC5" s="3198"/>
    </row>
    <row r="6" spans="1:29" ht="15.75" thickBot="1">
      <c r="A6" s="405"/>
      <c r="B6" s="406"/>
      <c r="C6" s="3215" t="s">
        <v>2538</v>
      </c>
      <c r="D6" s="3216"/>
      <c r="E6" s="3222" t="s">
        <v>2538</v>
      </c>
      <c r="F6" s="3223"/>
      <c r="G6" s="3215" t="s">
        <v>2538</v>
      </c>
      <c r="H6" s="3216"/>
      <c r="I6" s="3215" t="s">
        <v>2538</v>
      </c>
      <c r="J6" s="3216"/>
      <c r="K6" s="609" t="s">
        <v>2539</v>
      </c>
      <c r="L6" s="1128"/>
      <c r="M6" s="1129"/>
      <c r="N6" s="1129"/>
      <c r="O6" s="1129"/>
      <c r="P6" s="3207"/>
      <c r="Q6" s="3208"/>
      <c r="R6" s="3211"/>
      <c r="S6" s="3212"/>
      <c r="T6" s="3213"/>
      <c r="U6" s="3214"/>
      <c r="V6" s="3196"/>
      <c r="W6" s="3196"/>
      <c r="X6" s="1809"/>
      <c r="Y6" s="3213"/>
      <c r="Z6" s="3214"/>
      <c r="AA6" s="3199"/>
      <c r="AB6" s="3199"/>
      <c r="AC6" s="3199"/>
    </row>
    <row r="7" spans="1:29" s="116" customFormat="1" ht="15.75" thickBot="1">
      <c r="A7" s="407" t="s">
        <v>2540</v>
      </c>
      <c r="B7" s="408"/>
      <c r="C7" s="409">
        <f>'数据-取费表'!B2</f>
        <v>43424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19" t="s">
        <v>2541</v>
      </c>
      <c r="Q7" s="3221"/>
      <c r="R7" s="769" t="s">
        <v>17</v>
      </c>
      <c r="S7" s="770">
        <f t="shared" ref="S7:S15" si="0">F7</f>
        <v>0</v>
      </c>
      <c r="T7" s="769" t="s">
        <v>17</v>
      </c>
      <c r="U7" s="770">
        <f t="shared" ref="U7:U15" si="1">H7</f>
        <v>0</v>
      </c>
      <c r="V7" s="769" t="s">
        <v>17</v>
      </c>
      <c r="W7" s="770">
        <f t="shared" ref="W7:W15" si="2">J7</f>
        <v>0</v>
      </c>
      <c r="X7" s="771"/>
      <c r="Y7" s="3219" t="s">
        <v>2541</v>
      </c>
      <c r="Z7" s="3220"/>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19" t="s">
        <v>2544</v>
      </c>
      <c r="Q8" s="3220"/>
      <c r="R8" s="769" t="s">
        <v>17</v>
      </c>
      <c r="S8" s="770">
        <f t="shared" si="0"/>
        <v>0</v>
      </c>
      <c r="T8" s="769" t="s">
        <v>17</v>
      </c>
      <c r="U8" s="770">
        <f t="shared" si="1"/>
        <v>0</v>
      </c>
      <c r="V8" s="769" t="s">
        <v>17</v>
      </c>
      <c r="W8" s="770">
        <f t="shared" si="2"/>
        <v>0</v>
      </c>
      <c r="X8" s="771"/>
      <c r="Y8" s="3219" t="s">
        <v>2544</v>
      </c>
      <c r="Z8" s="3220"/>
      <c r="AA8" s="772" t="e">
        <f t="shared" ref="AA8:AA40" si="3">D8/F8</f>
        <v>#DIV/0!</v>
      </c>
      <c r="AB8" s="772" t="e">
        <f t="shared" ref="AB8:AB40" si="4">D8/H8</f>
        <v>#DIV/0!</v>
      </c>
      <c r="AC8" s="772" t="e">
        <f t="shared" ref="AC8:AC40" si="5">D8/J8</f>
        <v>#DIV/0!</v>
      </c>
    </row>
    <row r="9" spans="1:29" s="116"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90" t="s">
        <v>2547</v>
      </c>
      <c r="Q9" s="1791" t="str">
        <f t="shared" ref="Q9:Q15" si="6">B9</f>
        <v>用途</v>
      </c>
      <c r="R9" s="769" t="s">
        <v>17</v>
      </c>
      <c r="S9" s="770">
        <f t="shared" si="0"/>
        <v>100</v>
      </c>
      <c r="T9" s="769" t="s">
        <v>17</v>
      </c>
      <c r="U9" s="770">
        <f t="shared" si="1"/>
        <v>100</v>
      </c>
      <c r="V9" s="769" t="s">
        <v>17</v>
      </c>
      <c r="W9" s="770">
        <f t="shared" si="2"/>
        <v>100</v>
      </c>
      <c r="X9" s="771"/>
      <c r="Y9" s="3033"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90"/>
      <c r="Q10" s="1791"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90"/>
      <c r="Q11" s="1791"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6" customFormat="1" ht="15">
      <c r="A12" s="430"/>
      <c r="B12" s="2592">
        <v>111</v>
      </c>
      <c r="C12" s="431"/>
      <c r="D12" s="432">
        <v>100</v>
      </c>
      <c r="E12" s="433"/>
      <c r="F12" s="135">
        <f>SUMIF(64:64,E12,65:65)-SUMIF(64:64,C12,65:65)+100</f>
        <v>100</v>
      </c>
      <c r="G12" s="2682"/>
      <c r="H12" s="135">
        <f>SUMIF(64:64,G12,65:65)-SUMIF(64:64,C12,65:65)+100</f>
        <v>100</v>
      </c>
      <c r="I12" s="468"/>
      <c r="J12" s="135">
        <f>SUMIF(64:64,I12,65:65)-SUMIF(64:64,C12,65:65)+100</f>
        <v>100</v>
      </c>
      <c r="K12" s="612"/>
      <c r="L12" s="1130"/>
      <c r="M12" s="1131"/>
      <c r="N12" s="1131"/>
      <c r="O12" s="1132"/>
      <c r="P12" s="3190"/>
      <c r="Q12" s="1791">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2">
        <v>111</v>
      </c>
      <c r="C13" s="433"/>
      <c r="D13" s="434">
        <v>100</v>
      </c>
      <c r="E13" s="433"/>
      <c r="F13" s="135">
        <f>SUMIF(66:66,E13,67:67)-SUMIF(66:66,C13,67:67)+100</f>
        <v>100</v>
      </c>
      <c r="G13" s="2682"/>
      <c r="H13" s="434">
        <f>SUMIF(66:66,G13,67:67)-SUMIF(66:66,C13,67:67)+100</f>
        <v>100</v>
      </c>
      <c r="I13" s="468"/>
      <c r="J13" s="434">
        <f>SUMIF(66:66,I13,67:67)-SUMIF(66:66,C13,67:67)+100</f>
        <v>100</v>
      </c>
      <c r="K13" s="612"/>
      <c r="L13" s="1138"/>
      <c r="M13" s="1129"/>
      <c r="N13" s="1129"/>
      <c r="O13" s="1137"/>
      <c r="P13" s="3190"/>
      <c r="Q13" s="1791">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4">
        <v>111</v>
      </c>
      <c r="C14" s="436"/>
      <c r="D14" s="437">
        <v>100</v>
      </c>
      <c r="E14" s="436"/>
      <c r="F14" s="437">
        <f>SUMIF(68:68,E14,69:69)-SUMIF(68:68,C14,69:69)+100</f>
        <v>100</v>
      </c>
      <c r="G14" s="2682"/>
      <c r="H14" s="437">
        <f>SUMIF(68:68,G14,69:69)-SUMIF(68:68,C14,69:69)+100</f>
        <v>100</v>
      </c>
      <c r="I14" s="468"/>
      <c r="J14" s="437">
        <f>SUMIF(68:68,I14,69:69)-SUMIF(68:68,C14,69:69)+100</f>
        <v>100</v>
      </c>
      <c r="K14" s="612"/>
      <c r="L14" s="1138"/>
      <c r="M14" s="1129"/>
      <c r="N14" s="1129"/>
      <c r="O14" s="1137"/>
      <c r="P14" s="3190"/>
      <c r="Q14" s="1791">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2551</v>
      </c>
      <c r="B15" s="69" t="s">
        <v>2695</v>
      </c>
      <c r="C15" s="268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92" t="s">
        <v>2552</v>
      </c>
      <c r="Q15" s="1806" t="str">
        <f t="shared" si="6"/>
        <v>产业集聚程度</v>
      </c>
      <c r="R15" s="773" t="s">
        <v>17</v>
      </c>
      <c r="S15" s="774">
        <f t="shared" si="0"/>
        <v>100</v>
      </c>
      <c r="T15" s="773" t="s">
        <v>17</v>
      </c>
      <c r="U15" s="774">
        <f t="shared" si="1"/>
        <v>100</v>
      </c>
      <c r="V15" s="773" t="s">
        <v>17</v>
      </c>
      <c r="W15" s="774">
        <f t="shared" si="2"/>
        <v>100</v>
      </c>
      <c r="X15" s="1809"/>
      <c r="Y15" s="3192" t="s">
        <v>2552</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8"/>
      <c r="M16" s="1129"/>
      <c r="N16" s="1129"/>
      <c r="O16" s="1137"/>
      <c r="P16" s="3193"/>
      <c r="Q16" s="1806"/>
      <c r="R16" s="773"/>
      <c r="S16" s="774"/>
      <c r="T16" s="773"/>
      <c r="U16" s="774"/>
      <c r="V16" s="773"/>
      <c r="W16" s="774"/>
      <c r="X16" s="1809"/>
      <c r="Y16" s="3193"/>
      <c r="Z16" s="1810"/>
      <c r="AA16" s="1807">
        <v>1</v>
      </c>
      <c r="AB16" s="1807">
        <v>1</v>
      </c>
      <c r="AC16" s="1807">
        <v>1</v>
      </c>
    </row>
    <row r="17" spans="1:29" ht="85.5">
      <c r="A17" s="427"/>
      <c r="B17" s="450" t="s">
        <v>2093</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93"/>
      <c r="Q17" s="1806" t="str">
        <f>B17</f>
        <v>交通便捷度</v>
      </c>
      <c r="R17" s="773" t="s">
        <v>17</v>
      </c>
      <c r="S17" s="774">
        <f>F17</f>
        <v>100</v>
      </c>
      <c r="T17" s="773" t="s">
        <v>17</v>
      </c>
      <c r="U17" s="774">
        <f>H17</f>
        <v>100</v>
      </c>
      <c r="V17" s="773" t="s">
        <v>17</v>
      </c>
      <c r="W17" s="774">
        <f>J17</f>
        <v>100</v>
      </c>
      <c r="X17" s="1809"/>
      <c r="Y17" s="3193"/>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8"/>
      <c r="M18" s="1129"/>
      <c r="N18" s="1129"/>
      <c r="O18" s="1137"/>
      <c r="P18" s="3193"/>
      <c r="Q18" s="1806"/>
      <c r="R18" s="773"/>
      <c r="S18" s="774"/>
      <c r="T18" s="773"/>
      <c r="U18" s="774"/>
      <c r="V18" s="773"/>
      <c r="W18" s="774"/>
      <c r="X18" s="1809"/>
      <c r="Y18" s="3193"/>
      <c r="Z18" s="1810"/>
      <c r="AA18" s="1807">
        <v>1</v>
      </c>
      <c r="AB18" s="1807">
        <v>1</v>
      </c>
      <c r="AC18" s="1807">
        <v>1</v>
      </c>
    </row>
    <row r="19" spans="1:29" ht="42.75">
      <c r="A19" s="427"/>
      <c r="B19" s="450" t="s">
        <v>2680</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93"/>
      <c r="Q19" s="1806" t="str">
        <f>B19</f>
        <v>公共配套设施</v>
      </c>
      <c r="R19" s="773" t="s">
        <v>17</v>
      </c>
      <c r="S19" s="774">
        <f>F19</f>
        <v>100</v>
      </c>
      <c r="T19" s="773" t="s">
        <v>17</v>
      </c>
      <c r="U19" s="774">
        <f>H19</f>
        <v>100</v>
      </c>
      <c r="V19" s="773" t="s">
        <v>17</v>
      </c>
      <c r="W19" s="774">
        <f>J19</f>
        <v>100</v>
      </c>
      <c r="X19" s="1809"/>
      <c r="Y19" s="3193"/>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8"/>
      <c r="M20" s="1129"/>
      <c r="N20" s="1129"/>
      <c r="O20" s="1137"/>
      <c r="P20" s="3193"/>
      <c r="Q20" s="1806"/>
      <c r="R20" s="773"/>
      <c r="S20" s="774"/>
      <c r="T20" s="773"/>
      <c r="U20" s="774"/>
      <c r="V20" s="773"/>
      <c r="W20" s="774"/>
      <c r="X20" s="1809"/>
      <c r="Y20" s="3193"/>
      <c r="Z20" s="1810"/>
      <c r="AA20" s="1807">
        <v>1</v>
      </c>
      <c r="AB20" s="1807">
        <v>1</v>
      </c>
      <c r="AC20" s="1807">
        <v>1</v>
      </c>
    </row>
    <row r="21" spans="1:29" ht="28.5">
      <c r="A21" s="427"/>
      <c r="B21" s="1382" t="s">
        <v>2681</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93"/>
      <c r="Q21" s="1806" t="str">
        <f>B21</f>
        <v>基础设施水平</v>
      </c>
      <c r="R21" s="773" t="s">
        <v>17</v>
      </c>
      <c r="S21" s="774">
        <f>F21</f>
        <v>100</v>
      </c>
      <c r="T21" s="773" t="s">
        <v>17</v>
      </c>
      <c r="U21" s="774">
        <f>H21</f>
        <v>100</v>
      </c>
      <c r="V21" s="773" t="s">
        <v>17</v>
      </c>
      <c r="W21" s="774">
        <f>J21</f>
        <v>100</v>
      </c>
      <c r="X21" s="1809"/>
      <c r="Y21" s="3193"/>
      <c r="Z21" s="1810" t="str">
        <f>Q21</f>
        <v>基础设施水平</v>
      </c>
      <c r="AA21" s="1807">
        <f t="shared" ref="AA21" si="8">D21/F21</f>
        <v>1</v>
      </c>
      <c r="AB21" s="1807">
        <f t="shared" ref="AB21" si="9">D21/H21</f>
        <v>1</v>
      </c>
      <c r="AC21" s="1807">
        <f t="shared" ref="AC21" si="10">D21/J21</f>
        <v>1</v>
      </c>
    </row>
    <row r="22" spans="1:29" ht="15">
      <c r="A22" s="427"/>
      <c r="B22" s="1382"/>
      <c r="C22" s="2600"/>
      <c r="D22" s="447"/>
      <c r="E22" s="446"/>
      <c r="F22" s="448"/>
      <c r="G22" s="446"/>
      <c r="H22" s="447"/>
      <c r="I22" s="446"/>
      <c r="J22" s="447"/>
      <c r="K22" s="1381"/>
      <c r="L22" s="1138"/>
      <c r="M22" s="1129"/>
      <c r="N22" s="1129"/>
      <c r="O22" s="1137"/>
      <c r="P22" s="3193"/>
      <c r="Q22" s="1806"/>
      <c r="R22" s="773"/>
      <c r="S22" s="774"/>
      <c r="T22" s="773"/>
      <c r="U22" s="774"/>
      <c r="V22" s="773"/>
      <c r="W22" s="774"/>
      <c r="X22" s="1809"/>
      <c r="Y22" s="3193"/>
      <c r="Z22" s="1810"/>
      <c r="AA22" s="1807">
        <v>1</v>
      </c>
      <c r="AB22" s="1807">
        <v>1</v>
      </c>
      <c r="AC22" s="1807">
        <v>1</v>
      </c>
    </row>
    <row r="23" spans="1:29" ht="71.25">
      <c r="A23" s="427"/>
      <c r="B23" s="450" t="s">
        <v>2682</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93"/>
      <c r="Q23" s="1806" t="str">
        <f>B23</f>
        <v>环境质量</v>
      </c>
      <c r="R23" s="773" t="s">
        <v>17</v>
      </c>
      <c r="S23" s="774">
        <f>F23</f>
        <v>100</v>
      </c>
      <c r="T23" s="773" t="s">
        <v>17</v>
      </c>
      <c r="U23" s="774">
        <f>H23</f>
        <v>100</v>
      </c>
      <c r="V23" s="773" t="s">
        <v>17</v>
      </c>
      <c r="W23" s="774">
        <f>J23</f>
        <v>100</v>
      </c>
      <c r="X23" s="1809"/>
      <c r="Y23" s="3193"/>
      <c r="Z23" s="1810" t="str">
        <f>Q23</f>
        <v>环境质量</v>
      </c>
      <c r="AA23" s="1807">
        <f t="shared" si="3"/>
        <v>1</v>
      </c>
      <c r="AB23" s="1807">
        <f t="shared" si="4"/>
        <v>1</v>
      </c>
      <c r="AC23" s="1807">
        <f t="shared" si="5"/>
        <v>1</v>
      </c>
    </row>
    <row r="24" spans="1:29" ht="15">
      <c r="A24" s="427"/>
      <c r="B24" s="1382"/>
      <c r="C24" s="446"/>
      <c r="D24" s="447"/>
      <c r="E24" s="2597"/>
      <c r="F24" s="448"/>
      <c r="G24" s="2596"/>
      <c r="H24" s="447"/>
      <c r="I24" s="2597"/>
      <c r="J24" s="447"/>
      <c r="K24" s="614"/>
      <c r="L24" s="1138"/>
      <c r="M24" s="1129"/>
      <c r="N24" s="1129"/>
      <c r="O24" s="1137"/>
      <c r="P24" s="3193"/>
      <c r="Q24" s="1806"/>
      <c r="R24" s="773"/>
      <c r="S24" s="774"/>
      <c r="T24" s="773"/>
      <c r="U24" s="774"/>
      <c r="V24" s="773"/>
      <c r="W24" s="774"/>
      <c r="X24" s="1809"/>
      <c r="Y24" s="3193"/>
      <c r="Z24" s="1810"/>
      <c r="AA24" s="1807">
        <v>1</v>
      </c>
      <c r="AB24" s="1807">
        <v>1</v>
      </c>
      <c r="AC24" s="1807">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93"/>
      <c r="Q25" s="1806">
        <f>B25</f>
        <v>111</v>
      </c>
      <c r="R25" s="773" t="s">
        <v>17</v>
      </c>
      <c r="S25" s="774">
        <f>F25</f>
        <v>100</v>
      </c>
      <c r="T25" s="773" t="s">
        <v>17</v>
      </c>
      <c r="U25" s="774">
        <f>H25</f>
        <v>100</v>
      </c>
      <c r="V25" s="773" t="s">
        <v>17</v>
      </c>
      <c r="W25" s="774">
        <f>J25</f>
        <v>100</v>
      </c>
      <c r="X25" s="1809"/>
      <c r="Y25" s="3193"/>
      <c r="Z25" s="1810">
        <f>Q25</f>
        <v>111</v>
      </c>
      <c r="AA25" s="1807">
        <f t="shared" si="3"/>
        <v>1</v>
      </c>
      <c r="AB25" s="1807">
        <f t="shared" si="4"/>
        <v>1</v>
      </c>
      <c r="AC25" s="1807">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93"/>
      <c r="Q26" s="1806">
        <f t="shared" ref="Q26:Q40" si="11">B26</f>
        <v>111</v>
      </c>
      <c r="R26" s="773" t="s">
        <v>17</v>
      </c>
      <c r="S26" s="774">
        <f>F26</f>
        <v>100</v>
      </c>
      <c r="T26" s="773" t="s">
        <v>17</v>
      </c>
      <c r="U26" s="774">
        <f>H26</f>
        <v>100</v>
      </c>
      <c r="V26" s="773" t="s">
        <v>17</v>
      </c>
      <c r="W26" s="774">
        <f>J26</f>
        <v>100</v>
      </c>
      <c r="X26" s="1809"/>
      <c r="Y26" s="3193"/>
      <c r="Z26" s="1810">
        <f>Q26</f>
        <v>111</v>
      </c>
      <c r="AA26" s="1807">
        <f t="shared" si="3"/>
        <v>1</v>
      </c>
      <c r="AB26" s="1807">
        <f t="shared" si="4"/>
        <v>1</v>
      </c>
      <c r="AC26" s="1807">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93"/>
      <c r="Q27" s="1791">
        <f t="shared" si="11"/>
        <v>111</v>
      </c>
      <c r="R27" s="769" t="s">
        <v>17</v>
      </c>
      <c r="S27" s="770">
        <f>F27</f>
        <v>100</v>
      </c>
      <c r="T27" s="769" t="s">
        <v>17</v>
      </c>
      <c r="U27" s="770">
        <f>H27</f>
        <v>100</v>
      </c>
      <c r="V27" s="769" t="s">
        <v>17</v>
      </c>
      <c r="W27" s="770">
        <f>J27</f>
        <v>100</v>
      </c>
      <c r="X27" s="771"/>
      <c r="Y27" s="3193"/>
      <c r="Z27" s="55">
        <f>Q27</f>
        <v>111</v>
      </c>
      <c r="AA27" s="1807">
        <f>D27/F27</f>
        <v>1</v>
      </c>
      <c r="AB27" s="1807">
        <f>D27/H27</f>
        <v>1</v>
      </c>
      <c r="AC27" s="1807">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93"/>
      <c r="Q28" s="1806">
        <f t="shared" si="11"/>
        <v>111</v>
      </c>
      <c r="R28" s="773" t="s">
        <v>17</v>
      </c>
      <c r="S28" s="774">
        <f t="shared" ref="S28:S40" si="12">F28</f>
        <v>100</v>
      </c>
      <c r="T28" s="773" t="s">
        <v>17</v>
      </c>
      <c r="U28" s="774">
        <f t="shared" ref="U28:U40" si="13">H28</f>
        <v>100</v>
      </c>
      <c r="V28" s="773" t="s">
        <v>17</v>
      </c>
      <c r="W28" s="774">
        <f t="shared" ref="W28:W40" si="14">J28</f>
        <v>100</v>
      </c>
      <c r="X28" s="1809"/>
      <c r="Y28" s="3193"/>
      <c r="Z28" s="1810">
        <f t="shared" ref="Z28:Z40" si="15">Q28</f>
        <v>111</v>
      </c>
      <c r="AA28" s="1807">
        <f t="shared" si="3"/>
        <v>1</v>
      </c>
      <c r="AB28" s="1807">
        <f t="shared" si="4"/>
        <v>1</v>
      </c>
      <c r="AC28" s="1807">
        <f t="shared" si="5"/>
        <v>1</v>
      </c>
    </row>
    <row r="29" spans="1:29" ht="15">
      <c r="A29" s="465" t="s">
        <v>2555</v>
      </c>
      <c r="B29" s="71" t="s">
        <v>2685</v>
      </c>
      <c r="C29" s="2669"/>
      <c r="D29" s="466">
        <v>100</v>
      </c>
      <c r="E29" s="2669"/>
      <c r="F29" s="460">
        <f>SUMIF(88:88,E29,89:89)-SUMIF(88:88,C29,89:89)+100</f>
        <v>100</v>
      </c>
      <c r="G29" s="2669"/>
      <c r="H29" s="434">
        <f>SUMIF(88:88,G29,89:89)-SUMIF(88:88,C29,89:89)+100</f>
        <v>100</v>
      </c>
      <c r="I29" s="2669"/>
      <c r="J29" s="466">
        <f>SUMIF(88:88,I29,89:89)-SUMIF(88:88,C29,89:89)+100</f>
        <v>100</v>
      </c>
      <c r="K29" s="611"/>
      <c r="L29" s="1138"/>
      <c r="M29" s="1129"/>
      <c r="N29" s="1129"/>
      <c r="O29" s="1137"/>
      <c r="P29" s="3194" t="s">
        <v>2557</v>
      </c>
      <c r="Q29" s="1806" t="str">
        <f t="shared" si="11"/>
        <v>建筑类型</v>
      </c>
      <c r="R29" s="773" t="s">
        <v>17</v>
      </c>
      <c r="S29" s="774">
        <f t="shared" si="12"/>
        <v>100</v>
      </c>
      <c r="T29" s="773" t="s">
        <v>17</v>
      </c>
      <c r="U29" s="774">
        <f t="shared" si="13"/>
        <v>100</v>
      </c>
      <c r="V29" s="773" t="s">
        <v>17</v>
      </c>
      <c r="W29" s="774">
        <f t="shared" si="14"/>
        <v>100</v>
      </c>
      <c r="X29" s="1809"/>
      <c r="Y29" s="3195" t="s">
        <v>2557</v>
      </c>
      <c r="Z29" s="1810" t="str">
        <f t="shared" si="15"/>
        <v>建筑类型</v>
      </c>
      <c r="AA29" s="1807">
        <f t="shared" si="3"/>
        <v>1</v>
      </c>
      <c r="AB29" s="1807">
        <f t="shared" si="4"/>
        <v>1</v>
      </c>
      <c r="AC29" s="1807">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195"/>
      <c r="Q30" s="775" t="str">
        <f t="shared" si="11"/>
        <v>项目建筑规模</v>
      </c>
      <c r="R30" s="776" t="s">
        <v>17</v>
      </c>
      <c r="S30" s="777" t="e">
        <f t="shared" si="12"/>
        <v>#N/A</v>
      </c>
      <c r="T30" s="776" t="s">
        <v>17</v>
      </c>
      <c r="U30" s="777" t="e">
        <f t="shared" si="13"/>
        <v>#N/A</v>
      </c>
      <c r="V30" s="776" t="s">
        <v>17</v>
      </c>
      <c r="W30" s="777" t="e">
        <f t="shared" si="14"/>
        <v>#N/A</v>
      </c>
      <c r="X30" s="778"/>
      <c r="Y30" s="3195"/>
      <c r="Z30" s="779" t="str">
        <f t="shared" si="15"/>
        <v>项目建筑规模</v>
      </c>
      <c r="AA30" s="1807" t="e">
        <f t="shared" si="3"/>
        <v>#N/A</v>
      </c>
      <c r="AB30" s="1807" t="e">
        <f t="shared" si="4"/>
        <v>#N/A</v>
      </c>
      <c r="AC30" s="1807"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95"/>
      <c r="Q31" s="1806" t="str">
        <f t="shared" si="11"/>
        <v>建筑结构</v>
      </c>
      <c r="R31" s="773" t="s">
        <v>17</v>
      </c>
      <c r="S31" s="774">
        <f t="shared" si="12"/>
        <v>100</v>
      </c>
      <c r="T31" s="773" t="s">
        <v>17</v>
      </c>
      <c r="U31" s="774">
        <f t="shared" si="13"/>
        <v>100</v>
      </c>
      <c r="V31" s="773" t="s">
        <v>17</v>
      </c>
      <c r="W31" s="774">
        <f t="shared" si="14"/>
        <v>100</v>
      </c>
      <c r="X31" s="1809"/>
      <c r="Y31" s="3195"/>
      <c r="Z31" s="1810" t="str">
        <f t="shared" si="15"/>
        <v>建筑结构</v>
      </c>
      <c r="AA31" s="1807">
        <f t="shared" si="3"/>
        <v>1</v>
      </c>
      <c r="AB31" s="1807">
        <f t="shared" si="4"/>
        <v>1</v>
      </c>
      <c r="AC31" s="1807">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95"/>
      <c r="Q32" s="1806" t="str">
        <f t="shared" si="11"/>
        <v>公共部分装修</v>
      </c>
      <c r="R32" s="773" t="s">
        <v>17</v>
      </c>
      <c r="S32" s="774">
        <f t="shared" si="12"/>
        <v>100</v>
      </c>
      <c r="T32" s="773" t="s">
        <v>17</v>
      </c>
      <c r="U32" s="774">
        <f t="shared" si="13"/>
        <v>100</v>
      </c>
      <c r="V32" s="773" t="s">
        <v>17</v>
      </c>
      <c r="W32" s="774">
        <f t="shared" si="14"/>
        <v>100</v>
      </c>
      <c r="X32" s="1809"/>
      <c r="Y32" s="3195"/>
      <c r="Z32" s="1810" t="str">
        <f t="shared" si="15"/>
        <v>公共部分装修</v>
      </c>
      <c r="AA32" s="1807">
        <f t="shared" si="3"/>
        <v>1</v>
      </c>
      <c r="AB32" s="1807">
        <f t="shared" si="4"/>
        <v>1</v>
      </c>
      <c r="AC32" s="1807">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95"/>
      <c r="Q33" s="1806" t="str">
        <f t="shared" si="11"/>
        <v>成新度</v>
      </c>
      <c r="R33" s="773" t="s">
        <v>17</v>
      </c>
      <c r="S33" s="774" t="e">
        <f t="shared" si="12"/>
        <v>#N/A</v>
      </c>
      <c r="T33" s="773" t="s">
        <v>17</v>
      </c>
      <c r="U33" s="774" t="e">
        <f t="shared" si="13"/>
        <v>#N/A</v>
      </c>
      <c r="V33" s="773" t="s">
        <v>17</v>
      </c>
      <c r="W33" s="774" t="e">
        <f t="shared" si="14"/>
        <v>#N/A</v>
      </c>
      <c r="X33" s="1809"/>
      <c r="Y33" s="3195"/>
      <c r="Z33" s="1810" t="str">
        <f t="shared" si="15"/>
        <v>成新度</v>
      </c>
      <c r="AA33" s="1807" t="e">
        <f t="shared" si="3"/>
        <v>#N/A</v>
      </c>
      <c r="AB33" s="1807" t="e">
        <f t="shared" si="4"/>
        <v>#N/A</v>
      </c>
      <c r="AC33" s="1807"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95"/>
      <c r="Q34" s="1791" t="str">
        <f t="shared" si="11"/>
        <v>物业管理</v>
      </c>
      <c r="R34" s="769" t="s">
        <v>17</v>
      </c>
      <c r="S34" s="770">
        <f t="shared" si="12"/>
        <v>100</v>
      </c>
      <c r="T34" s="769" t="s">
        <v>17</v>
      </c>
      <c r="U34" s="770">
        <f t="shared" si="13"/>
        <v>100</v>
      </c>
      <c r="V34" s="769" t="s">
        <v>17</v>
      </c>
      <c r="W34" s="770">
        <f t="shared" si="14"/>
        <v>100</v>
      </c>
      <c r="X34" s="771"/>
      <c r="Y34" s="3195"/>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95" t="s">
        <v>2557</v>
      </c>
      <c r="Q35" s="1806" t="str">
        <f t="shared" si="11"/>
        <v>市政基础设施</v>
      </c>
      <c r="R35" s="773" t="s">
        <v>17</v>
      </c>
      <c r="S35" s="774">
        <f t="shared" si="12"/>
        <v>100</v>
      </c>
      <c r="T35" s="773" t="s">
        <v>17</v>
      </c>
      <c r="U35" s="774">
        <f t="shared" si="13"/>
        <v>100</v>
      </c>
      <c r="V35" s="773" t="s">
        <v>17</v>
      </c>
      <c r="W35" s="774">
        <f t="shared" si="14"/>
        <v>100</v>
      </c>
      <c r="X35" s="1809"/>
      <c r="Y35" s="3195" t="s">
        <v>2557</v>
      </c>
      <c r="Z35" s="1810" t="str">
        <f t="shared" si="15"/>
        <v>市政基础设施</v>
      </c>
      <c r="AA35" s="1807">
        <f t="shared" si="3"/>
        <v>1</v>
      </c>
      <c r="AB35" s="1807">
        <f t="shared" si="4"/>
        <v>1</v>
      </c>
      <c r="AC35" s="1807">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95"/>
      <c r="Q36" s="1806" t="str">
        <f t="shared" si="11"/>
        <v>内部装修</v>
      </c>
      <c r="R36" s="773" t="s">
        <v>17</v>
      </c>
      <c r="S36" s="774">
        <f t="shared" si="12"/>
        <v>100</v>
      </c>
      <c r="T36" s="773" t="s">
        <v>17</v>
      </c>
      <c r="U36" s="774">
        <f t="shared" si="13"/>
        <v>100</v>
      </c>
      <c r="V36" s="773" t="s">
        <v>17</v>
      </c>
      <c r="W36" s="774">
        <f t="shared" si="14"/>
        <v>100</v>
      </c>
      <c r="X36" s="1809"/>
      <c r="Y36" s="3195"/>
      <c r="Z36" s="1810" t="str">
        <f t="shared" si="15"/>
        <v>内部装修</v>
      </c>
      <c r="AA36" s="1807">
        <f t="shared" si="3"/>
        <v>1</v>
      </c>
      <c r="AB36" s="1807">
        <f t="shared" si="4"/>
        <v>1</v>
      </c>
      <c r="AC36" s="1807">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95"/>
      <c r="Q37" s="1806" t="str">
        <f t="shared" si="11"/>
        <v>内部装修状况</v>
      </c>
      <c r="R37" s="773" t="s">
        <v>17</v>
      </c>
      <c r="S37" s="774">
        <f t="shared" si="12"/>
        <v>100</v>
      </c>
      <c r="T37" s="773" t="s">
        <v>17</v>
      </c>
      <c r="U37" s="774">
        <f t="shared" si="13"/>
        <v>100</v>
      </c>
      <c r="V37" s="773" t="s">
        <v>17</v>
      </c>
      <c r="W37" s="774">
        <f t="shared" si="14"/>
        <v>100</v>
      </c>
      <c r="X37" s="1809"/>
      <c r="Y37" s="3195"/>
      <c r="Z37" s="1810" t="str">
        <f t="shared" si="15"/>
        <v>内部装修状况</v>
      </c>
      <c r="AA37" s="1807">
        <f t="shared" si="3"/>
        <v>1</v>
      </c>
      <c r="AB37" s="1807">
        <f t="shared" si="4"/>
        <v>1</v>
      </c>
      <c r="AC37" s="1807">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95"/>
      <c r="Q38" s="775">
        <f t="shared" si="11"/>
        <v>111</v>
      </c>
      <c r="R38" s="776" t="s">
        <v>17</v>
      </c>
      <c r="S38" s="777">
        <f t="shared" si="12"/>
        <v>100</v>
      </c>
      <c r="T38" s="776" t="s">
        <v>17</v>
      </c>
      <c r="U38" s="777">
        <f t="shared" si="13"/>
        <v>100</v>
      </c>
      <c r="V38" s="776" t="s">
        <v>17</v>
      </c>
      <c r="W38" s="777">
        <f t="shared" si="14"/>
        <v>100</v>
      </c>
      <c r="X38" s="778"/>
      <c r="Y38" s="3195"/>
      <c r="Z38" s="779">
        <f t="shared" si="15"/>
        <v>111</v>
      </c>
      <c r="AA38" s="1807">
        <f t="shared" si="3"/>
        <v>1</v>
      </c>
      <c r="AB38" s="1807">
        <f t="shared" si="4"/>
        <v>1</v>
      </c>
      <c r="AC38" s="1807">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95"/>
      <c r="Q39" s="1806">
        <f t="shared" si="11"/>
        <v>111</v>
      </c>
      <c r="R39" s="773" t="s">
        <v>17</v>
      </c>
      <c r="S39" s="774">
        <f t="shared" si="12"/>
        <v>100</v>
      </c>
      <c r="T39" s="773" t="s">
        <v>17</v>
      </c>
      <c r="U39" s="774">
        <f t="shared" si="13"/>
        <v>100</v>
      </c>
      <c r="V39" s="773" t="s">
        <v>17</v>
      </c>
      <c r="W39" s="774">
        <f t="shared" si="14"/>
        <v>100</v>
      </c>
      <c r="X39" s="1809"/>
      <c r="Y39" s="3195"/>
      <c r="Z39" s="1810">
        <f t="shared" si="15"/>
        <v>111</v>
      </c>
      <c r="AA39" s="1807">
        <f t="shared" si="3"/>
        <v>1</v>
      </c>
      <c r="AB39" s="1807">
        <f t="shared" si="4"/>
        <v>1</v>
      </c>
      <c r="AC39" s="1807">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32"/>
      <c r="Q40" s="1806">
        <f t="shared" si="11"/>
        <v>111</v>
      </c>
      <c r="R40" s="773" t="s">
        <v>17</v>
      </c>
      <c r="S40" s="774">
        <f t="shared" si="12"/>
        <v>100</v>
      </c>
      <c r="T40" s="773" t="s">
        <v>17</v>
      </c>
      <c r="U40" s="774">
        <f t="shared" si="13"/>
        <v>100</v>
      </c>
      <c r="V40" s="773" t="s">
        <v>17</v>
      </c>
      <c r="W40" s="774">
        <f t="shared" si="14"/>
        <v>100</v>
      </c>
      <c r="X40" s="1809"/>
      <c r="Y40" s="3232"/>
      <c r="Z40" s="1810">
        <f t="shared" si="15"/>
        <v>111</v>
      </c>
      <c r="AA40" s="1807">
        <f t="shared" si="3"/>
        <v>1</v>
      </c>
      <c r="AB40" s="1807">
        <f t="shared" si="4"/>
        <v>1</v>
      </c>
      <c r="AC40" s="1807">
        <f t="shared" si="5"/>
        <v>1</v>
      </c>
    </row>
    <row r="41" spans="1:29" ht="15">
      <c r="A41" s="478" t="s">
        <v>2569</v>
      </c>
      <c r="B41" s="479"/>
      <c r="C41" s="1404" t="s">
        <v>1</v>
      </c>
      <c r="D41" s="1405"/>
      <c r="E41" s="1406"/>
      <c r="F41" s="1407"/>
      <c r="G41" s="1408"/>
      <c r="H41" s="1409"/>
      <c r="I41" s="1406"/>
      <c r="J41" s="1409"/>
      <c r="K41" s="782"/>
      <c r="L41" s="1141"/>
      <c r="M41" s="1142"/>
      <c r="N41" s="1129"/>
      <c r="O41" s="1142"/>
      <c r="P41" s="3190" t="str">
        <f>A41</f>
        <v>成交单价（元/平方米）</v>
      </c>
      <c r="Q41" s="3190"/>
      <c r="R41" s="3228">
        <f>E41</f>
        <v>0</v>
      </c>
      <c r="S41" s="3228"/>
      <c r="T41" s="3228">
        <f>G41</f>
        <v>0</v>
      </c>
      <c r="U41" s="3228"/>
      <c r="V41" s="3228">
        <f>I41</f>
        <v>0</v>
      </c>
      <c r="W41" s="3228"/>
      <c r="X41" s="758"/>
      <c r="Y41" s="780"/>
      <c r="Z41" s="758"/>
      <c r="AA41" s="758"/>
      <c r="AB41" s="758"/>
      <c r="AC41" s="758"/>
    </row>
    <row r="42" spans="1:29" ht="15.75" thickBot="1">
      <c r="A42" s="485" t="s">
        <v>2661</v>
      </c>
      <c r="B42" s="486"/>
      <c r="C42" s="1410" t="e">
        <f>R43</f>
        <v>#DIV/0!</v>
      </c>
      <c r="D42" s="1411"/>
      <c r="E42" s="1412" t="e">
        <f>R42</f>
        <v>#DIV/0!</v>
      </c>
      <c r="F42" s="1412"/>
      <c r="G42" s="1410" t="e">
        <f>T42</f>
        <v>#DIV/0!</v>
      </c>
      <c r="H42" s="1411"/>
      <c r="I42" s="1412" t="e">
        <f>V42</f>
        <v>#DIV/0!</v>
      </c>
      <c r="J42" s="1411"/>
      <c r="K42" s="783"/>
      <c r="L42" s="1141"/>
      <c r="M42" s="1142"/>
      <c r="N42" s="1129"/>
      <c r="O42" s="1142"/>
      <c r="P42" s="3190" t="str">
        <f>A42</f>
        <v>比较价值（元/平方米）</v>
      </c>
      <c r="Q42" s="3190"/>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8"/>
      <c r="Y42" s="758"/>
      <c r="Z42" s="758"/>
      <c r="AA42" s="758"/>
      <c r="AB42" s="758"/>
      <c r="AC42" s="758"/>
    </row>
    <row r="43" spans="1:29" ht="15.75" thickBot="1">
      <c r="A43" s="491" t="s">
        <v>2662</v>
      </c>
      <c r="B43" s="492"/>
      <c r="C43" s="1414" t="e">
        <f>R43</f>
        <v>#DIV/0!</v>
      </c>
      <c r="D43" s="1414"/>
      <c r="E43" s="1414"/>
      <c r="F43" s="1414"/>
      <c r="G43" s="1414"/>
      <c r="H43" s="1414"/>
      <c r="I43" s="1414"/>
      <c r="J43" s="1414"/>
      <c r="K43" s="784"/>
      <c r="L43" s="1141"/>
      <c r="M43" s="1142"/>
      <c r="N43" s="1142"/>
      <c r="O43" s="1142"/>
      <c r="P43" s="3184" t="str">
        <f>A43</f>
        <v>估价对象XX用房的比较价值（楼面单价，元/平方米）</v>
      </c>
      <c r="Q43" s="3185"/>
      <c r="R43" s="3227" t="e">
        <f>IF(F1="售价",ROUND(AVERAGE(R42:V42),0),ROUND(AVERAGE(R42:V42),1))</f>
        <v>#DIV/0!</v>
      </c>
      <c r="S43" s="3227"/>
      <c r="T43" s="3227"/>
      <c r="U43" s="3227"/>
      <c r="V43" s="3227"/>
      <c r="W43" s="3227"/>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2666</v>
      </c>
      <c r="B51" s="758"/>
      <c r="C51" s="763"/>
      <c r="D51" s="763"/>
      <c r="E51" s="763"/>
      <c r="F51" s="764"/>
      <c r="G51" s="764"/>
      <c r="H51" s="763"/>
      <c r="I51" s="763"/>
      <c r="J51" s="763"/>
      <c r="K51" s="1158"/>
      <c r="L51" s="1159"/>
      <c r="M51" s="1157"/>
      <c r="N51" s="1157"/>
      <c r="O51" s="1157"/>
      <c r="P51" s="502"/>
      <c r="Q51" s="503"/>
    </row>
    <row r="52" spans="1:17" s="507" customFormat="1" ht="15">
      <c r="A52" s="504" t="s">
        <v>2540</v>
      </c>
      <c r="B52" s="505"/>
      <c r="C52" s="1570" t="str">
        <f>YEAR(C7)&amp;"-"&amp;MONTH(C7)</f>
        <v>2018-11</v>
      </c>
      <c r="D52" s="1571">
        <f>EDATE(C52,-1)</f>
        <v>43374</v>
      </c>
      <c r="E52" s="1571">
        <f t="shared" ref="E52:O52" si="16">EDATE(D52,-1)</f>
        <v>43344</v>
      </c>
      <c r="F52" s="1571">
        <f t="shared" si="16"/>
        <v>43313</v>
      </c>
      <c r="G52" s="1571">
        <f t="shared" si="16"/>
        <v>43282</v>
      </c>
      <c r="H52" s="1571">
        <f t="shared" si="16"/>
        <v>43252</v>
      </c>
      <c r="I52" s="1571">
        <f t="shared" si="16"/>
        <v>43221</v>
      </c>
      <c r="J52" s="1571">
        <f t="shared" si="16"/>
        <v>43191</v>
      </c>
      <c r="K52" s="1571">
        <f t="shared" si="16"/>
        <v>43160</v>
      </c>
      <c r="L52" s="1571">
        <f t="shared" si="16"/>
        <v>43132</v>
      </c>
      <c r="M52" s="1571">
        <f t="shared" si="16"/>
        <v>43101</v>
      </c>
      <c r="N52" s="1571">
        <f t="shared" si="16"/>
        <v>43070</v>
      </c>
      <c r="O52" s="1571">
        <f t="shared" si="16"/>
        <v>43040</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6"/>
      <c r="B87" s="568"/>
      <c r="C87" s="569"/>
      <c r="D87" s="569"/>
      <c r="E87" s="569"/>
      <c r="F87" s="569"/>
      <c r="G87" s="590"/>
      <c r="H87" s="590"/>
      <c r="I87" s="590"/>
      <c r="J87" s="590"/>
      <c r="K87" s="590"/>
      <c r="L87" s="590"/>
      <c r="M87" s="591"/>
      <c r="N87" s="1151"/>
      <c r="O87" s="1151"/>
      <c r="P87" s="45"/>
      <c r="Q87" s="503"/>
    </row>
    <row r="88" spans="1:17">
      <c r="A88" s="526" t="s">
        <v>2555</v>
      </c>
      <c r="B88" s="527" t="s">
        <v>2604</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2608</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2612</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6"/>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5.5" style="402" customWidth="1"/>
    <col min="10" max="10" width="12.125" style="402" customWidth="1"/>
    <col min="11" max="11" width="12.125" style="494" customWidth="1"/>
    <col min="12" max="12" width="12.125" style="495" customWidth="1"/>
    <col min="13" max="15" width="12.125" style="402" customWidth="1"/>
    <col min="16" max="16" width="4.625" style="1121"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2699</v>
      </c>
      <c r="B1" s="1615"/>
      <c r="C1" s="1616" t="s">
        <v>2522</v>
      </c>
      <c r="D1" s="1617"/>
      <c r="E1" s="1618"/>
      <c r="F1" s="2576"/>
      <c r="G1" s="1619" t="s">
        <v>2635</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2322</v>
      </c>
      <c r="B2" s="1415" t="e">
        <f ca="1">IF(C2="——",IF(B37="元/平方米",ROUND(C39*D3/10000,0),ROUND(F3*C39/10000,0)),IF(B37="元/平方米",ROUND(C39*D3/10000,0),ROUND(F3*C39/10000,0))-D2)</f>
        <v>#DIV/0!</v>
      </c>
      <c r="C2" s="2578"/>
      <c r="D2" s="1122" t="e">
        <f ca="1">SUMIF(INDIRECT("'"&amp;F2&amp;"'"&amp;"!A:A"),"承租人权益价值",INDIRECT("'"&amp;F2&amp;"'"&amp;"!c:c"))</f>
        <v>#REF!</v>
      </c>
      <c r="E2" s="2579" t="s">
        <v>2323</v>
      </c>
      <c r="F2" s="2580"/>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5">
      <c r="A4" s="400" t="s">
        <v>2637</v>
      </c>
      <c r="B4" s="401"/>
      <c r="C4" s="3187" t="s">
        <v>2638</v>
      </c>
      <c r="D4" s="3200"/>
      <c r="E4" s="3201" t="s">
        <v>2639</v>
      </c>
      <c r="F4" s="3202"/>
      <c r="G4" s="3187" t="s">
        <v>2640</v>
      </c>
      <c r="H4" s="3200"/>
      <c r="I4" s="3187" t="s">
        <v>2641</v>
      </c>
      <c r="J4" s="3200"/>
      <c r="K4" s="609" t="s">
        <v>2642</v>
      </c>
      <c r="L4" s="1128"/>
      <c r="M4" s="1129"/>
      <c r="N4" s="1129"/>
      <c r="O4" s="1129"/>
      <c r="P4" s="3203" t="s">
        <v>2643</v>
      </c>
      <c r="Q4" s="3204"/>
      <c r="R4" s="3209" t="s">
        <v>2639</v>
      </c>
      <c r="S4" s="3210"/>
      <c r="T4" s="3209" t="s">
        <v>2640</v>
      </c>
      <c r="U4" s="3210"/>
      <c r="V4" s="3196" t="s">
        <v>2641</v>
      </c>
      <c r="W4" s="3196"/>
      <c r="X4" s="1809"/>
      <c r="Y4" s="3209" t="s">
        <v>2643</v>
      </c>
      <c r="Z4" s="3210"/>
      <c r="AA4" s="3197" t="s">
        <v>2639</v>
      </c>
      <c r="AB4" s="3198" t="s">
        <v>2640</v>
      </c>
      <c r="AC4" s="3197" t="s">
        <v>2641</v>
      </c>
    </row>
    <row r="5" spans="1:29" ht="15">
      <c r="A5" s="403"/>
      <c r="B5" s="404"/>
      <c r="C5" s="3217" t="s">
        <v>2534</v>
      </c>
      <c r="D5" s="3218"/>
      <c r="E5" s="3224" t="s">
        <v>2535</v>
      </c>
      <c r="F5" s="3225"/>
      <c r="G5" s="3217" t="s">
        <v>2536</v>
      </c>
      <c r="H5" s="3218"/>
      <c r="I5" s="3217" t="s">
        <v>2537</v>
      </c>
      <c r="J5" s="3218"/>
      <c r="K5" s="609"/>
      <c r="L5" s="1128"/>
      <c r="M5" s="1129"/>
      <c r="N5" s="1129"/>
      <c r="O5" s="1129"/>
      <c r="P5" s="3205"/>
      <c r="Q5" s="3206"/>
      <c r="R5" s="3211"/>
      <c r="S5" s="3212"/>
      <c r="T5" s="3211"/>
      <c r="U5" s="3212"/>
      <c r="V5" s="3196"/>
      <c r="W5" s="3196"/>
      <c r="X5" s="1809"/>
      <c r="Y5" s="3211"/>
      <c r="Z5" s="3212"/>
      <c r="AA5" s="3198"/>
      <c r="AB5" s="3198"/>
      <c r="AC5" s="3198"/>
    </row>
    <row r="6" spans="1:29" ht="15.75" thickBot="1">
      <c r="A6" s="405"/>
      <c r="B6" s="406"/>
      <c r="C6" s="3215" t="s">
        <v>2538</v>
      </c>
      <c r="D6" s="3216"/>
      <c r="E6" s="3222" t="s">
        <v>2538</v>
      </c>
      <c r="F6" s="3223"/>
      <c r="G6" s="3215" t="s">
        <v>2538</v>
      </c>
      <c r="H6" s="3216"/>
      <c r="I6" s="3215" t="s">
        <v>2538</v>
      </c>
      <c r="J6" s="3216"/>
      <c r="K6" s="609" t="s">
        <v>2539</v>
      </c>
      <c r="L6" s="1128"/>
      <c r="M6" s="1129"/>
      <c r="N6" s="1129"/>
      <c r="O6" s="1129"/>
      <c r="P6" s="3207"/>
      <c r="Q6" s="3208"/>
      <c r="R6" s="3211"/>
      <c r="S6" s="3212"/>
      <c r="T6" s="3213"/>
      <c r="U6" s="3214"/>
      <c r="V6" s="3196"/>
      <c r="W6" s="3196"/>
      <c r="X6" s="1809"/>
      <c r="Y6" s="3213"/>
      <c r="Z6" s="3214"/>
      <c r="AA6" s="3199"/>
      <c r="AB6" s="3199"/>
      <c r="AC6" s="3199"/>
    </row>
    <row r="7" spans="1:29" s="116" customFormat="1" ht="15.75" thickBot="1">
      <c r="A7" s="407" t="s">
        <v>2540</v>
      </c>
      <c r="B7" s="408"/>
      <c r="C7" s="409">
        <f>'数据-取费表'!B2</f>
        <v>43424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19" t="s">
        <v>2541</v>
      </c>
      <c r="Q7" s="3221"/>
      <c r="R7" s="769" t="s">
        <v>17</v>
      </c>
      <c r="S7" s="770">
        <f t="shared" ref="S7:S14" si="0">F7</f>
        <v>0</v>
      </c>
      <c r="T7" s="769" t="s">
        <v>17</v>
      </c>
      <c r="U7" s="770">
        <f t="shared" ref="U7:U14" si="1">H7</f>
        <v>0</v>
      </c>
      <c r="V7" s="769" t="s">
        <v>17</v>
      </c>
      <c r="W7" s="770">
        <f t="shared" ref="W7:W14" si="2">J7</f>
        <v>0</v>
      </c>
      <c r="X7" s="771"/>
      <c r="Y7" s="3219" t="s">
        <v>2541</v>
      </c>
      <c r="Z7" s="3220"/>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19" t="s">
        <v>2544</v>
      </c>
      <c r="Q8" s="3220"/>
      <c r="R8" s="769" t="s">
        <v>17</v>
      </c>
      <c r="S8" s="770">
        <f t="shared" si="0"/>
        <v>0</v>
      </c>
      <c r="T8" s="769" t="s">
        <v>17</v>
      </c>
      <c r="U8" s="770">
        <f t="shared" si="1"/>
        <v>0</v>
      </c>
      <c r="V8" s="769" t="s">
        <v>17</v>
      </c>
      <c r="W8" s="770">
        <f t="shared" si="2"/>
        <v>0</v>
      </c>
      <c r="X8" s="771"/>
      <c r="Y8" s="3219" t="s">
        <v>2544</v>
      </c>
      <c r="Z8" s="3220"/>
      <c r="AA8" s="772" t="e">
        <f t="shared" ref="AA8:AA36" si="3">D8/F8</f>
        <v>#DIV/0!</v>
      </c>
      <c r="AB8" s="772" t="e">
        <f t="shared" ref="AB8:AB36" si="4">D8/H8</f>
        <v>#DIV/0!</v>
      </c>
      <c r="AC8" s="772" t="e">
        <f t="shared" ref="AC8:AC36" si="5">D8/J8</f>
        <v>#DIV/0!</v>
      </c>
    </row>
    <row r="9" spans="1:29" s="116"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90" t="s">
        <v>2547</v>
      </c>
      <c r="Q9" s="1791" t="str">
        <f t="shared" ref="Q9:Q14" si="6">B9</f>
        <v>用途</v>
      </c>
      <c r="R9" s="769" t="s">
        <v>17</v>
      </c>
      <c r="S9" s="770">
        <f t="shared" si="0"/>
        <v>100</v>
      </c>
      <c r="T9" s="769" t="s">
        <v>17</v>
      </c>
      <c r="U9" s="770">
        <f t="shared" si="1"/>
        <v>100</v>
      </c>
      <c r="V9" s="769" t="s">
        <v>17</v>
      </c>
      <c r="W9" s="770">
        <f t="shared" si="2"/>
        <v>100</v>
      </c>
      <c r="X9" s="771"/>
      <c r="Y9" s="3033"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90"/>
      <c r="Q10" s="1791"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90"/>
      <c r="Q11" s="1791">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90"/>
      <c r="Q12" s="1791">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90"/>
      <c r="Q13" s="1791">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2551</v>
      </c>
      <c r="B14" s="628" t="s">
        <v>2701</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92" t="s">
        <v>2552</v>
      </c>
      <c r="Q14" s="1806" t="str">
        <f t="shared" si="6"/>
        <v>交通便捷度</v>
      </c>
      <c r="R14" s="773" t="s">
        <v>17</v>
      </c>
      <c r="S14" s="774">
        <f t="shared" si="0"/>
        <v>100</v>
      </c>
      <c r="T14" s="773" t="s">
        <v>17</v>
      </c>
      <c r="U14" s="774">
        <f t="shared" si="1"/>
        <v>100</v>
      </c>
      <c r="V14" s="773" t="s">
        <v>17</v>
      </c>
      <c r="W14" s="774">
        <f t="shared" si="2"/>
        <v>100</v>
      </c>
      <c r="X14" s="1809"/>
      <c r="Y14" s="3192" t="s">
        <v>2552</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8"/>
      <c r="M15" s="1129"/>
      <c r="N15" s="1129"/>
      <c r="O15" s="1129"/>
      <c r="P15" s="3193"/>
      <c r="Q15" s="1806"/>
      <c r="R15" s="773"/>
      <c r="S15" s="774"/>
      <c r="T15" s="773"/>
      <c r="U15" s="774"/>
      <c r="V15" s="773"/>
      <c r="W15" s="774"/>
      <c r="X15" s="1809"/>
      <c r="Y15" s="3193"/>
      <c r="Z15" s="1810"/>
      <c r="AA15" s="1807">
        <v>1</v>
      </c>
      <c r="AB15" s="1807">
        <v>1</v>
      </c>
      <c r="AC15" s="1807">
        <v>1</v>
      </c>
    </row>
    <row r="16" spans="1:29" ht="42.75">
      <c r="A16" s="403"/>
      <c r="B16" s="630" t="s">
        <v>2680</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93"/>
      <c r="Q16" s="1806" t="str">
        <f>B16</f>
        <v>公共配套设施</v>
      </c>
      <c r="R16" s="773" t="s">
        <v>17</v>
      </c>
      <c r="S16" s="774">
        <f>F16</f>
        <v>100</v>
      </c>
      <c r="T16" s="773" t="s">
        <v>17</v>
      </c>
      <c r="U16" s="774">
        <f>H16</f>
        <v>100</v>
      </c>
      <c r="V16" s="773" t="s">
        <v>17</v>
      </c>
      <c r="W16" s="774">
        <f>J16</f>
        <v>100</v>
      </c>
      <c r="X16" s="1809"/>
      <c r="Y16" s="3193"/>
      <c r="Z16" s="1810" t="str">
        <f>Q16</f>
        <v>公共配套设施</v>
      </c>
      <c r="AA16" s="1807">
        <f t="shared" si="3"/>
        <v>1</v>
      </c>
      <c r="AB16" s="1807">
        <f t="shared" si="4"/>
        <v>1</v>
      </c>
      <c r="AC16" s="1807">
        <f t="shared" si="5"/>
        <v>1</v>
      </c>
    </row>
    <row r="17" spans="1:29" ht="15">
      <c r="A17" s="403"/>
      <c r="B17" s="631"/>
      <c r="C17" s="2600"/>
      <c r="D17" s="447"/>
      <c r="E17" s="446"/>
      <c r="F17" s="448"/>
      <c r="G17" s="446"/>
      <c r="H17" s="447"/>
      <c r="I17" s="446"/>
      <c r="J17" s="447"/>
      <c r="K17" s="614"/>
      <c r="L17" s="1138"/>
      <c r="M17" s="1129"/>
      <c r="N17" s="1129"/>
      <c r="O17" s="1129"/>
      <c r="P17" s="3193"/>
      <c r="Q17" s="1806"/>
      <c r="R17" s="773"/>
      <c r="S17" s="774"/>
      <c r="T17" s="773"/>
      <c r="U17" s="774"/>
      <c r="V17" s="773"/>
      <c r="W17" s="774"/>
      <c r="X17" s="1809"/>
      <c r="Y17" s="3193"/>
      <c r="Z17" s="1810"/>
      <c r="AA17" s="1807">
        <v>1</v>
      </c>
      <c r="AB17" s="1807">
        <v>1</v>
      </c>
      <c r="AC17" s="1807">
        <v>1</v>
      </c>
    </row>
    <row r="18" spans="1:29" ht="28.5">
      <c r="A18" s="403"/>
      <c r="B18" s="632" t="s">
        <v>2681</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93"/>
      <c r="Q18" s="1806" t="str">
        <f>B18</f>
        <v>基础设施水平</v>
      </c>
      <c r="R18" s="773" t="s">
        <v>17</v>
      </c>
      <c r="S18" s="774">
        <f>F18</f>
        <v>100</v>
      </c>
      <c r="T18" s="773" t="s">
        <v>17</v>
      </c>
      <c r="U18" s="774">
        <f>H18</f>
        <v>100</v>
      </c>
      <c r="V18" s="773" t="s">
        <v>17</v>
      </c>
      <c r="W18" s="774">
        <f>J18</f>
        <v>100</v>
      </c>
      <c r="X18" s="1809"/>
      <c r="Y18" s="3193"/>
      <c r="Z18" s="1810" t="str">
        <f>Q18</f>
        <v>基础设施水平</v>
      </c>
      <c r="AA18" s="1807">
        <f t="shared" ref="AA18" si="8">D18/F18</f>
        <v>1</v>
      </c>
      <c r="AB18" s="1807">
        <f t="shared" ref="AB18" si="9">D18/H18</f>
        <v>1</v>
      </c>
      <c r="AC18" s="1807">
        <f t="shared" ref="AC18" si="10">D18/J18</f>
        <v>1</v>
      </c>
    </row>
    <row r="19" spans="1:29" ht="15">
      <c r="A19" s="403"/>
      <c r="B19" s="632"/>
      <c r="C19" s="2600"/>
      <c r="D19" s="449"/>
      <c r="E19" s="2600"/>
      <c r="F19" s="452"/>
      <c r="G19" s="2600"/>
      <c r="H19" s="447"/>
      <c r="I19" s="446"/>
      <c r="J19" s="447"/>
      <c r="K19" s="1381"/>
      <c r="L19" s="1138"/>
      <c r="M19" s="1129"/>
      <c r="N19" s="1129"/>
      <c r="O19" s="1129"/>
      <c r="P19" s="3193"/>
      <c r="Q19" s="1806"/>
      <c r="R19" s="773"/>
      <c r="S19" s="774"/>
      <c r="T19" s="773"/>
      <c r="U19" s="774"/>
      <c r="V19" s="773"/>
      <c r="W19" s="774"/>
      <c r="X19" s="1809"/>
      <c r="Y19" s="3193"/>
      <c r="Z19" s="1810"/>
      <c r="AA19" s="1807">
        <v>1</v>
      </c>
      <c r="AB19" s="1807">
        <v>1</v>
      </c>
      <c r="AC19" s="1807">
        <v>1</v>
      </c>
    </row>
    <row r="20" spans="1:29" ht="57">
      <c r="A20" s="403"/>
      <c r="B20" s="630" t="s">
        <v>2702</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93"/>
      <c r="Q20" s="1806" t="str">
        <f>B20</f>
        <v>自然及人文环境</v>
      </c>
      <c r="R20" s="773" t="s">
        <v>17</v>
      </c>
      <c r="S20" s="774">
        <f>F20</f>
        <v>100</v>
      </c>
      <c r="T20" s="773" t="s">
        <v>17</v>
      </c>
      <c r="U20" s="774">
        <f>H20</f>
        <v>100</v>
      </c>
      <c r="V20" s="773" t="s">
        <v>17</v>
      </c>
      <c r="W20" s="774">
        <f>J20</f>
        <v>100</v>
      </c>
      <c r="X20" s="1809"/>
      <c r="Y20" s="3193"/>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8"/>
      <c r="M21" s="1129"/>
      <c r="N21" s="1129"/>
      <c r="O21" s="1129"/>
      <c r="P21" s="3193"/>
      <c r="Q21" s="1806"/>
      <c r="R21" s="773"/>
      <c r="S21" s="774"/>
      <c r="T21" s="773"/>
      <c r="U21" s="774"/>
      <c r="V21" s="773"/>
      <c r="W21" s="774"/>
      <c r="X21" s="1809"/>
      <c r="Y21" s="3193"/>
      <c r="Z21" s="1810"/>
      <c r="AA21" s="1807">
        <v>1</v>
      </c>
      <c r="AB21" s="1807">
        <v>1</v>
      </c>
      <c r="AC21" s="1807">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93"/>
      <c r="Q22" s="1806" t="str">
        <f>B22</f>
        <v>楼层</v>
      </c>
      <c r="R22" s="773" t="s">
        <v>17</v>
      </c>
      <c r="S22" s="774">
        <f>F22</f>
        <v>100</v>
      </c>
      <c r="T22" s="773" t="s">
        <v>17</v>
      </c>
      <c r="U22" s="774">
        <f>H22</f>
        <v>100</v>
      </c>
      <c r="V22" s="773" t="s">
        <v>17</v>
      </c>
      <c r="W22" s="774">
        <f>J22</f>
        <v>100</v>
      </c>
      <c r="X22" s="1809"/>
      <c r="Y22" s="3193"/>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93"/>
      <c r="Q23" s="1806">
        <f>B23</f>
        <v>111</v>
      </c>
      <c r="R23" s="773" t="s">
        <v>17</v>
      </c>
      <c r="S23" s="774">
        <f>F23</f>
        <v>100</v>
      </c>
      <c r="T23" s="773" t="s">
        <v>17</v>
      </c>
      <c r="U23" s="774">
        <f>H23</f>
        <v>100</v>
      </c>
      <c r="V23" s="773" t="s">
        <v>17</v>
      </c>
      <c r="W23" s="774">
        <f>J23</f>
        <v>100</v>
      </c>
      <c r="X23" s="1809"/>
      <c r="Y23" s="3193"/>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93"/>
      <c r="Q24" s="1806">
        <f t="shared" ref="Q24:Q36" si="11">B24</f>
        <v>111</v>
      </c>
      <c r="R24" s="773" t="s">
        <v>17</v>
      </c>
      <c r="S24" s="774">
        <f>F24</f>
        <v>100</v>
      </c>
      <c r="T24" s="773" t="s">
        <v>17</v>
      </c>
      <c r="U24" s="774">
        <f>H24</f>
        <v>100</v>
      </c>
      <c r="V24" s="773" t="s">
        <v>17</v>
      </c>
      <c r="W24" s="774">
        <f>J24</f>
        <v>100</v>
      </c>
      <c r="X24" s="1809"/>
      <c r="Y24" s="3193"/>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193"/>
      <c r="Q25" s="1791">
        <f t="shared" si="11"/>
        <v>111</v>
      </c>
      <c r="R25" s="769" t="s">
        <v>17</v>
      </c>
      <c r="S25" s="770">
        <f>F25</f>
        <v>100</v>
      </c>
      <c r="T25" s="769" t="s">
        <v>17</v>
      </c>
      <c r="U25" s="770">
        <f>H25</f>
        <v>100</v>
      </c>
      <c r="V25" s="769" t="s">
        <v>17</v>
      </c>
      <c r="W25" s="770">
        <f>J25</f>
        <v>100</v>
      </c>
      <c r="X25" s="771"/>
      <c r="Y25" s="3193"/>
      <c r="Z25" s="55">
        <f>Q25</f>
        <v>111</v>
      </c>
      <c r="AA25" s="1807">
        <f>D25/F25</f>
        <v>1</v>
      </c>
      <c r="AB25" s="1807">
        <f>D25/H25</f>
        <v>1</v>
      </c>
      <c r="AC25" s="1807">
        <f>D25/J25</f>
        <v>1</v>
      </c>
    </row>
    <row r="26" spans="1:29" ht="15">
      <c r="A26" s="651" t="s">
        <v>2555</v>
      </c>
      <c r="B26" s="70" t="s">
        <v>2704</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194" t="s">
        <v>2557</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195" t="s">
        <v>2557</v>
      </c>
      <c r="Z26" s="1810" t="str">
        <f t="shared" ref="Z26:Z36" si="15">Q26</f>
        <v>配套类型</v>
      </c>
      <c r="AA26" s="1807">
        <f t="shared" si="3"/>
        <v>1</v>
      </c>
      <c r="AB26" s="1807">
        <f t="shared" si="4"/>
        <v>1</v>
      </c>
      <c r="AC26" s="1807">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195"/>
      <c r="Q27" s="775" t="str">
        <f t="shared" si="11"/>
        <v>项目停车位配比</v>
      </c>
      <c r="R27" s="776" t="s">
        <v>17</v>
      </c>
      <c r="S27" s="777">
        <f t="shared" si="12"/>
        <v>100</v>
      </c>
      <c r="T27" s="776" t="s">
        <v>17</v>
      </c>
      <c r="U27" s="777">
        <f t="shared" si="13"/>
        <v>100</v>
      </c>
      <c r="V27" s="776" t="s">
        <v>17</v>
      </c>
      <c r="W27" s="777">
        <f t="shared" si="14"/>
        <v>100</v>
      </c>
      <c r="X27" s="778"/>
      <c r="Y27" s="3195"/>
      <c r="Z27" s="779" t="str">
        <f t="shared" si="15"/>
        <v>项目停车位配比</v>
      </c>
      <c r="AA27" s="1807">
        <f t="shared" si="3"/>
        <v>1</v>
      </c>
      <c r="AB27" s="1807">
        <f t="shared" si="4"/>
        <v>1</v>
      </c>
      <c r="AC27" s="1807">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95"/>
      <c r="Q28" s="1806" t="str">
        <f t="shared" si="11"/>
        <v>公共部分装修</v>
      </c>
      <c r="R28" s="773" t="s">
        <v>17</v>
      </c>
      <c r="S28" s="774">
        <f t="shared" si="12"/>
        <v>100</v>
      </c>
      <c r="T28" s="773" t="s">
        <v>17</v>
      </c>
      <c r="U28" s="774">
        <f t="shared" si="13"/>
        <v>100</v>
      </c>
      <c r="V28" s="773" t="s">
        <v>17</v>
      </c>
      <c r="W28" s="774">
        <f t="shared" si="14"/>
        <v>100</v>
      </c>
      <c r="X28" s="1809"/>
      <c r="Y28" s="3195"/>
      <c r="Z28" s="1810" t="str">
        <f t="shared" si="15"/>
        <v>公共部分装修</v>
      </c>
      <c r="AA28" s="1807">
        <f t="shared" si="3"/>
        <v>1</v>
      </c>
      <c r="AB28" s="1807">
        <f t="shared" si="4"/>
        <v>1</v>
      </c>
      <c r="AC28" s="1807">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95"/>
      <c r="Q29" s="1806" t="str">
        <f t="shared" si="11"/>
        <v>成新率</v>
      </c>
      <c r="R29" s="773" t="s">
        <v>17</v>
      </c>
      <c r="S29" s="774" t="e">
        <f t="shared" si="12"/>
        <v>#N/A</v>
      </c>
      <c r="T29" s="773" t="s">
        <v>17</v>
      </c>
      <c r="U29" s="774" t="e">
        <f t="shared" si="13"/>
        <v>#N/A</v>
      </c>
      <c r="V29" s="773" t="s">
        <v>17</v>
      </c>
      <c r="W29" s="774" t="e">
        <f t="shared" si="14"/>
        <v>#N/A</v>
      </c>
      <c r="X29" s="1809"/>
      <c r="Y29" s="3195"/>
      <c r="Z29" s="1810" t="str">
        <f t="shared" si="15"/>
        <v>成新率</v>
      </c>
      <c r="AA29" s="1807" t="e">
        <f t="shared" si="3"/>
        <v>#N/A</v>
      </c>
      <c r="AB29" s="1807" t="e">
        <f t="shared" si="4"/>
        <v>#N/A</v>
      </c>
      <c r="AC29" s="1807"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195"/>
      <c r="Q30" s="1806" t="str">
        <f t="shared" si="11"/>
        <v>物业等级</v>
      </c>
      <c r="R30" s="773" t="s">
        <v>17</v>
      </c>
      <c r="S30" s="774">
        <f t="shared" si="12"/>
        <v>100</v>
      </c>
      <c r="T30" s="773" t="s">
        <v>17</v>
      </c>
      <c r="U30" s="774">
        <f t="shared" si="13"/>
        <v>100</v>
      </c>
      <c r="V30" s="773" t="s">
        <v>17</v>
      </c>
      <c r="W30" s="774">
        <f t="shared" si="14"/>
        <v>100</v>
      </c>
      <c r="X30" s="1809"/>
      <c r="Y30" s="3195"/>
      <c r="Z30" s="1810" t="str">
        <f t="shared" si="15"/>
        <v>物业等级</v>
      </c>
      <c r="AA30" s="1807">
        <f t="shared" si="3"/>
        <v>1</v>
      </c>
      <c r="AB30" s="1807">
        <f t="shared" si="4"/>
        <v>1</v>
      </c>
      <c r="AC30" s="1807">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95"/>
      <c r="Q31" s="1791" t="str">
        <f t="shared" si="11"/>
        <v>停车位面积</v>
      </c>
      <c r="R31" s="769" t="s">
        <v>17</v>
      </c>
      <c r="S31" s="770" t="e">
        <f t="shared" si="12"/>
        <v>#N/A</v>
      </c>
      <c r="T31" s="769" t="s">
        <v>17</v>
      </c>
      <c r="U31" s="770" t="e">
        <f t="shared" si="13"/>
        <v>#N/A</v>
      </c>
      <c r="V31" s="769" t="s">
        <v>17</v>
      </c>
      <c r="W31" s="770" t="e">
        <f t="shared" si="14"/>
        <v>#N/A</v>
      </c>
      <c r="X31" s="771"/>
      <c r="Y31" s="3195"/>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95" t="s">
        <v>2557</v>
      </c>
      <c r="Q32" s="1806" t="str">
        <f t="shared" si="11"/>
        <v>车位类型</v>
      </c>
      <c r="R32" s="773" t="s">
        <v>17</v>
      </c>
      <c r="S32" s="774">
        <f t="shared" si="12"/>
        <v>100</v>
      </c>
      <c r="T32" s="773" t="s">
        <v>17</v>
      </c>
      <c r="U32" s="774">
        <f t="shared" si="13"/>
        <v>100</v>
      </c>
      <c r="V32" s="773" t="s">
        <v>17</v>
      </c>
      <c r="W32" s="774">
        <f t="shared" si="14"/>
        <v>100</v>
      </c>
      <c r="X32" s="1809"/>
      <c r="Y32" s="3195" t="s">
        <v>2557</v>
      </c>
      <c r="Z32" s="1810" t="str">
        <f t="shared" si="15"/>
        <v>车位类型</v>
      </c>
      <c r="AA32" s="1807">
        <f t="shared" si="3"/>
        <v>1</v>
      </c>
      <c r="AB32" s="1807">
        <f t="shared" si="4"/>
        <v>1</v>
      </c>
      <c r="AC32" s="1807">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95"/>
      <c r="Q33" s="1806" t="str">
        <f t="shared" si="11"/>
        <v>是否直接入户</v>
      </c>
      <c r="R33" s="773" t="s">
        <v>17</v>
      </c>
      <c r="S33" s="774">
        <f t="shared" si="12"/>
        <v>100</v>
      </c>
      <c r="T33" s="773" t="s">
        <v>17</v>
      </c>
      <c r="U33" s="774">
        <f t="shared" si="13"/>
        <v>100</v>
      </c>
      <c r="V33" s="773" t="s">
        <v>17</v>
      </c>
      <c r="W33" s="774">
        <f t="shared" si="14"/>
        <v>100</v>
      </c>
      <c r="X33" s="1809"/>
      <c r="Y33" s="3195"/>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95"/>
      <c r="Q34" s="1806">
        <f t="shared" si="11"/>
        <v>111</v>
      </c>
      <c r="R34" s="773" t="s">
        <v>17</v>
      </c>
      <c r="S34" s="774">
        <f t="shared" si="12"/>
        <v>100</v>
      </c>
      <c r="T34" s="773" t="s">
        <v>17</v>
      </c>
      <c r="U34" s="774">
        <f t="shared" si="13"/>
        <v>100</v>
      </c>
      <c r="V34" s="773" t="s">
        <v>17</v>
      </c>
      <c r="W34" s="774">
        <f t="shared" si="14"/>
        <v>100</v>
      </c>
      <c r="X34" s="1809"/>
      <c r="Y34" s="3195"/>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95"/>
      <c r="Q35" s="775">
        <f t="shared" si="11"/>
        <v>111</v>
      </c>
      <c r="R35" s="776" t="s">
        <v>17</v>
      </c>
      <c r="S35" s="777">
        <f t="shared" si="12"/>
        <v>100</v>
      </c>
      <c r="T35" s="776" t="s">
        <v>17</v>
      </c>
      <c r="U35" s="777">
        <f t="shared" si="13"/>
        <v>100</v>
      </c>
      <c r="V35" s="776" t="s">
        <v>17</v>
      </c>
      <c r="W35" s="777">
        <f t="shared" si="14"/>
        <v>100</v>
      </c>
      <c r="X35" s="778"/>
      <c r="Y35" s="3195"/>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95"/>
      <c r="Q36" s="1806">
        <f t="shared" si="11"/>
        <v>111</v>
      </c>
      <c r="R36" s="773" t="s">
        <v>17</v>
      </c>
      <c r="S36" s="774">
        <f t="shared" si="12"/>
        <v>100</v>
      </c>
      <c r="T36" s="773" t="s">
        <v>17</v>
      </c>
      <c r="U36" s="774">
        <f t="shared" si="13"/>
        <v>100</v>
      </c>
      <c r="V36" s="773" t="s">
        <v>17</v>
      </c>
      <c r="W36" s="774">
        <f t="shared" si="14"/>
        <v>100</v>
      </c>
      <c r="X36" s="1809"/>
      <c r="Y36" s="3195"/>
      <c r="Z36" s="1810">
        <f t="shared" si="15"/>
        <v>111</v>
      </c>
      <c r="AA36" s="1807">
        <f t="shared" si="3"/>
        <v>1</v>
      </c>
      <c r="AB36" s="1807">
        <f t="shared" si="4"/>
        <v>1</v>
      </c>
      <c r="AC36" s="1807">
        <f t="shared" si="5"/>
        <v>1</v>
      </c>
    </row>
    <row r="37" spans="1:29" ht="15">
      <c r="A37" s="478" t="s">
        <v>2712</v>
      </c>
      <c r="B37" s="2685" t="s">
        <v>2713</v>
      </c>
      <c r="C37" s="1404" t="s">
        <v>1</v>
      </c>
      <c r="D37" s="1405"/>
      <c r="E37" s="1406"/>
      <c r="F37" s="1407"/>
      <c r="G37" s="1408"/>
      <c r="H37" s="1409"/>
      <c r="I37" s="1406"/>
      <c r="J37" s="1409"/>
      <c r="K37" s="618"/>
      <c r="L37" s="1141"/>
      <c r="M37" s="1142"/>
      <c r="N37" s="1129"/>
      <c r="O37" s="1142"/>
      <c r="P37" s="3190" t="str">
        <f>A37</f>
        <v>成交单价</v>
      </c>
      <c r="Q37" s="3190"/>
      <c r="R37" s="3228">
        <f>E37</f>
        <v>0</v>
      </c>
      <c r="S37" s="3228"/>
      <c r="T37" s="3228">
        <f>G37</f>
        <v>0</v>
      </c>
      <c r="U37" s="3228"/>
      <c r="V37" s="3228">
        <f>I37</f>
        <v>0</v>
      </c>
      <c r="W37" s="3228"/>
      <c r="X37" s="758"/>
      <c r="Y37" s="780"/>
      <c r="Z37" s="758"/>
      <c r="AA37" s="758"/>
      <c r="AB37" s="758"/>
      <c r="AC37" s="758"/>
    </row>
    <row r="38" spans="1:29" ht="15.75" thickBot="1">
      <c r="A38" s="485" t="s">
        <v>2714</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190" t="str">
        <f>A38</f>
        <v>比较价值（元/平方米）</v>
      </c>
      <c r="Q38" s="3190"/>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8"/>
      <c r="Y38" s="758"/>
      <c r="Z38" s="758"/>
      <c r="AA38" s="758"/>
      <c r="AB38" s="758"/>
      <c r="AC38" s="758"/>
    </row>
    <row r="39" spans="1:29" ht="15.75" thickBot="1">
      <c r="A39" s="491" t="s">
        <v>2715</v>
      </c>
      <c r="B39" s="492"/>
      <c r="C39" s="1414" t="e">
        <f>R39</f>
        <v>#DIV/0!</v>
      </c>
      <c r="D39" s="1414"/>
      <c r="E39" s="1414"/>
      <c r="F39" s="1414"/>
      <c r="G39" s="1414"/>
      <c r="H39" s="1414"/>
      <c r="I39" s="1414"/>
      <c r="J39" s="1414"/>
      <c r="K39" s="620"/>
      <c r="L39" s="1141"/>
      <c r="M39" s="1142"/>
      <c r="N39" s="1142"/>
      <c r="O39" s="1142"/>
      <c r="P39" s="3184" t="str">
        <f>A39</f>
        <v>估价对象XX用房的比较价值（楼面单价，元/平方米）</v>
      </c>
      <c r="Q39" s="3185"/>
      <c r="R39" s="3227" t="e">
        <f>IF(F1="售价",ROUND(AVERAGE(R38:V38),0),ROUND(AVERAGE(R38:V38),1))</f>
        <v>#DIV/0!</v>
      </c>
      <c r="S39" s="3227"/>
      <c r="T39" s="3227"/>
      <c r="U39" s="3227"/>
      <c r="V39" s="3227"/>
      <c r="W39" s="3227"/>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2719</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5">
      <c r="A48" s="504" t="s">
        <v>2720</v>
      </c>
      <c r="B48" s="505"/>
      <c r="C48" s="1570" t="str">
        <f>YEAR(C7)&amp;"-"&amp;MONTH(C7)</f>
        <v>2018-11</v>
      </c>
      <c r="D48" s="1571">
        <f>EDATE(C48,-1)</f>
        <v>43374</v>
      </c>
      <c r="E48" s="1571">
        <f t="shared" ref="E48:O48" si="16">EDATE(D48,-1)</f>
        <v>43344</v>
      </c>
      <c r="F48" s="1571">
        <f t="shared" si="16"/>
        <v>43313</v>
      </c>
      <c r="G48" s="1571">
        <f t="shared" si="16"/>
        <v>43282</v>
      </c>
      <c r="H48" s="1571">
        <f t="shared" si="16"/>
        <v>43252</v>
      </c>
      <c r="I48" s="1571">
        <f t="shared" si="16"/>
        <v>43221</v>
      </c>
      <c r="J48" s="1571">
        <f t="shared" si="16"/>
        <v>43191</v>
      </c>
      <c r="K48" s="1571">
        <f t="shared" si="16"/>
        <v>43160</v>
      </c>
      <c r="L48" s="1571">
        <f t="shared" si="16"/>
        <v>43132</v>
      </c>
      <c r="M48" s="1571">
        <f t="shared" si="16"/>
        <v>43101</v>
      </c>
      <c r="N48" s="1571">
        <f t="shared" si="16"/>
        <v>43070</v>
      </c>
      <c r="O48" s="1571">
        <f t="shared" si="16"/>
        <v>43040</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2577</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2542</v>
      </c>
      <c r="B51" s="509"/>
      <c r="C51" s="521" t="s">
        <v>2644</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2580</v>
      </c>
      <c r="B53" s="527" t="s">
        <v>2546</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75" thickTop="1">
      <c r="A67" s="533"/>
      <c r="B67" s="545" t="s">
        <v>2681</v>
      </c>
      <c r="C67" s="659" t="s">
        <v>2667</v>
      </c>
      <c r="D67" s="659" t="s">
        <v>2668</v>
      </c>
      <c r="E67" s="659" t="s">
        <v>2669</v>
      </c>
      <c r="F67" s="659" t="s">
        <v>2670</v>
      </c>
      <c r="G67" s="659" t="s">
        <v>2671</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7.75" thickTop="1">
      <c r="A79" s="526" t="s">
        <v>2555</v>
      </c>
      <c r="B79" s="527" t="s">
        <v>2722</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3"/>
      <c r="B81" s="537" t="s">
        <v>2723</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2608</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2727</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1625" customFormat="1" ht="28.5" customHeight="1" thickBot="1">
      <c r="A1" s="1614" t="s">
        <v>2699</v>
      </c>
      <c r="B1" s="1615"/>
      <c r="C1" s="1616" t="s">
        <v>2522</v>
      </c>
      <c r="D1" s="1617"/>
      <c r="E1" s="1626"/>
      <c r="F1" s="2576"/>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5" t="e">
        <f ca="1">IF(C2="——",ROUND(C37*D3/10000,0),ROUND(C37*D3/10000,0)-D2)</f>
        <v>#DIV/0!</v>
      </c>
      <c r="C2" s="2578"/>
      <c r="D2" s="1122" t="e">
        <f ca="1">SUMIF(INDIRECT("'"&amp;F2&amp;"'"&amp;"!A:A"),"承租人权益价值",INDIRECT("'"&amp;F2&amp;"'"&amp;"!c:c"))</f>
        <v>#REF!</v>
      </c>
      <c r="E2" s="2579" t="s">
        <v>2323</v>
      </c>
      <c r="F2" s="2580"/>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187" t="s">
        <v>2638</v>
      </c>
      <c r="D4" s="3200"/>
      <c r="E4" s="3201" t="s">
        <v>2639</v>
      </c>
      <c r="F4" s="3202"/>
      <c r="G4" s="3187" t="s">
        <v>2640</v>
      </c>
      <c r="H4" s="3200"/>
      <c r="I4" s="3187" t="s">
        <v>2641</v>
      </c>
      <c r="J4" s="3200"/>
      <c r="K4" s="609" t="s">
        <v>2642</v>
      </c>
      <c r="L4" s="1128"/>
      <c r="M4" s="1129"/>
      <c r="N4" s="1129"/>
      <c r="O4" s="1129"/>
      <c r="P4" s="3203" t="s">
        <v>2643</v>
      </c>
      <c r="Q4" s="3204"/>
      <c r="R4" s="3209" t="s">
        <v>2639</v>
      </c>
      <c r="S4" s="3210"/>
      <c r="T4" s="3209" t="s">
        <v>2640</v>
      </c>
      <c r="U4" s="3210"/>
      <c r="V4" s="3196" t="s">
        <v>2641</v>
      </c>
      <c r="W4" s="3196"/>
      <c r="X4" s="1809"/>
      <c r="Y4" s="3209" t="s">
        <v>2643</v>
      </c>
      <c r="Z4" s="3210"/>
      <c r="AA4" s="3197" t="s">
        <v>2639</v>
      </c>
      <c r="AB4" s="3198" t="s">
        <v>2640</v>
      </c>
      <c r="AC4" s="3197" t="s">
        <v>2641</v>
      </c>
    </row>
    <row r="5" spans="1:29" ht="15">
      <c r="A5" s="403"/>
      <c r="B5" s="404"/>
      <c r="C5" s="3217" t="s">
        <v>2534</v>
      </c>
      <c r="D5" s="3218"/>
      <c r="E5" s="3224" t="s">
        <v>2535</v>
      </c>
      <c r="F5" s="3225"/>
      <c r="G5" s="3217" t="s">
        <v>2536</v>
      </c>
      <c r="H5" s="3218"/>
      <c r="I5" s="3217" t="s">
        <v>2537</v>
      </c>
      <c r="J5" s="3218"/>
      <c r="K5" s="609"/>
      <c r="L5" s="1128"/>
      <c r="M5" s="1129"/>
      <c r="N5" s="1129"/>
      <c r="O5" s="1129"/>
      <c r="P5" s="3205"/>
      <c r="Q5" s="3206"/>
      <c r="R5" s="3211"/>
      <c r="S5" s="3212"/>
      <c r="T5" s="3211"/>
      <c r="U5" s="3212"/>
      <c r="V5" s="3196"/>
      <c r="W5" s="3196"/>
      <c r="X5" s="1809"/>
      <c r="Y5" s="3211"/>
      <c r="Z5" s="3212"/>
      <c r="AA5" s="3198"/>
      <c r="AB5" s="3198"/>
      <c r="AC5" s="3198"/>
    </row>
    <row r="6" spans="1:29" ht="15.75" thickBot="1">
      <c r="A6" s="405"/>
      <c r="B6" s="406"/>
      <c r="C6" s="3215" t="s">
        <v>2538</v>
      </c>
      <c r="D6" s="3216"/>
      <c r="E6" s="3222" t="s">
        <v>2538</v>
      </c>
      <c r="F6" s="3223"/>
      <c r="G6" s="3215" t="s">
        <v>2538</v>
      </c>
      <c r="H6" s="3216"/>
      <c r="I6" s="3215" t="s">
        <v>2538</v>
      </c>
      <c r="J6" s="3216"/>
      <c r="K6" s="609" t="s">
        <v>2539</v>
      </c>
      <c r="L6" s="1128"/>
      <c r="M6" s="1129"/>
      <c r="N6" s="1129"/>
      <c r="O6" s="1129"/>
      <c r="P6" s="3207"/>
      <c r="Q6" s="3208"/>
      <c r="R6" s="3211"/>
      <c r="S6" s="3212"/>
      <c r="T6" s="3213"/>
      <c r="U6" s="3214"/>
      <c r="V6" s="3196"/>
      <c r="W6" s="3196"/>
      <c r="X6" s="1809"/>
      <c r="Y6" s="3213"/>
      <c r="Z6" s="3214"/>
      <c r="AA6" s="3199"/>
      <c r="AB6" s="3199"/>
      <c r="AC6" s="3199"/>
    </row>
    <row r="7" spans="1:29" s="116" customFormat="1" ht="15.75" thickBot="1">
      <c r="A7" s="407" t="s">
        <v>2540</v>
      </c>
      <c r="B7" s="408"/>
      <c r="C7" s="409">
        <f>'数据-取费表'!B2</f>
        <v>43424</v>
      </c>
      <c r="D7" s="410">
        <v>100</v>
      </c>
      <c r="E7" s="411"/>
      <c r="F7" s="412">
        <f>SUMIF(46:46,YEAR(E7)&amp;"-"&amp;MONTH(E7),47:47)</f>
        <v>0</v>
      </c>
      <c r="G7" s="2686"/>
      <c r="H7" s="410">
        <f>SUMIF(46:46,YEAR(G7)&amp;"-"&amp;MONTH(G7),47:47)</f>
        <v>0</v>
      </c>
      <c r="I7" s="411"/>
      <c r="J7" s="410">
        <f>SUMIF(46:46,YEAR(I7)&amp;"-"&amp;MONTH(I7),47:47)</f>
        <v>0</v>
      </c>
      <c r="K7" s="610"/>
      <c r="L7" s="1130"/>
      <c r="M7" s="1131"/>
      <c r="N7" s="1131"/>
      <c r="O7" s="1131"/>
      <c r="P7" s="3219" t="s">
        <v>2541</v>
      </c>
      <c r="Q7" s="3221"/>
      <c r="R7" s="769" t="s">
        <v>17</v>
      </c>
      <c r="S7" s="770">
        <f t="shared" ref="S7:S14" si="0">F7</f>
        <v>0</v>
      </c>
      <c r="T7" s="769" t="s">
        <v>17</v>
      </c>
      <c r="U7" s="770">
        <f t="shared" ref="U7:U14" si="1">H7</f>
        <v>0</v>
      </c>
      <c r="V7" s="769" t="s">
        <v>17</v>
      </c>
      <c r="W7" s="770">
        <f t="shared" ref="W7:W14" si="2">J7</f>
        <v>0</v>
      </c>
      <c r="X7" s="771"/>
      <c r="Y7" s="3219" t="s">
        <v>2541</v>
      </c>
      <c r="Z7" s="3220"/>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19" t="s">
        <v>2544</v>
      </c>
      <c r="Q8" s="3220"/>
      <c r="R8" s="769" t="s">
        <v>17</v>
      </c>
      <c r="S8" s="770">
        <f t="shared" si="0"/>
        <v>0</v>
      </c>
      <c r="T8" s="769" t="s">
        <v>17</v>
      </c>
      <c r="U8" s="770">
        <f t="shared" si="1"/>
        <v>0</v>
      </c>
      <c r="V8" s="769" t="s">
        <v>17</v>
      </c>
      <c r="W8" s="770">
        <f t="shared" si="2"/>
        <v>0</v>
      </c>
      <c r="X8" s="771"/>
      <c r="Y8" s="3219" t="s">
        <v>2544</v>
      </c>
      <c r="Z8" s="3220"/>
      <c r="AA8" s="772" t="e">
        <f t="shared" ref="AA8:AA34" si="3">D8/F8</f>
        <v>#DIV/0!</v>
      </c>
      <c r="AB8" s="772" t="e">
        <f t="shared" ref="AB8:AB34" si="4">D8/H8</f>
        <v>#DIV/0!</v>
      </c>
      <c r="AC8" s="772" t="e">
        <f t="shared" ref="AC8:AC34" si="5">D8/J8</f>
        <v>#DIV/0!</v>
      </c>
    </row>
    <row r="9" spans="1:29" s="116"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90" t="s">
        <v>2547</v>
      </c>
      <c r="Q9" s="1791" t="str">
        <f t="shared" ref="Q9:Q14" si="6">B9</f>
        <v>用途</v>
      </c>
      <c r="R9" s="769" t="s">
        <v>17</v>
      </c>
      <c r="S9" s="770">
        <f t="shared" si="0"/>
        <v>100</v>
      </c>
      <c r="T9" s="769" t="s">
        <v>17</v>
      </c>
      <c r="U9" s="770">
        <f t="shared" si="1"/>
        <v>100</v>
      </c>
      <c r="V9" s="769" t="s">
        <v>17</v>
      </c>
      <c r="W9" s="770">
        <f t="shared" si="2"/>
        <v>100</v>
      </c>
      <c r="X9" s="771"/>
      <c r="Y9" s="3033"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90"/>
      <c r="Q10" s="1791"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90"/>
      <c r="Q11" s="1791">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6"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90"/>
      <c r="Q12" s="1791">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592">
        <v>111</v>
      </c>
      <c r="C13" s="433"/>
      <c r="D13" s="434">
        <v>100</v>
      </c>
      <c r="E13" s="468"/>
      <c r="F13" s="424">
        <f>SUMIF(59:59,E13,60:60)-SUMIF(59:59,C13,60:60)+100</f>
        <v>100</v>
      </c>
      <c r="G13" s="2687"/>
      <c r="H13" s="437">
        <f>SUMIF(59:59,G13,60:60)-SUMIF(59:59,C13,60:60)+100</f>
        <v>100</v>
      </c>
      <c r="I13" s="468"/>
      <c r="J13" s="434">
        <f>SUMIF(59:59,I13,60:60)-SUMIF(59:59,C13,60:60)+100</f>
        <v>100</v>
      </c>
      <c r="K13" s="612"/>
      <c r="L13" s="1138"/>
      <c r="M13" s="1129"/>
      <c r="N13" s="1129"/>
      <c r="O13" s="1137"/>
      <c r="P13" s="3190"/>
      <c r="Q13" s="1791">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2551</v>
      </c>
      <c r="B14" s="69" t="s">
        <v>2701</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92" t="s">
        <v>2552</v>
      </c>
      <c r="Q14" s="1806" t="str">
        <f t="shared" si="6"/>
        <v>交通便捷度</v>
      </c>
      <c r="R14" s="773" t="s">
        <v>17</v>
      </c>
      <c r="S14" s="774">
        <f t="shared" si="0"/>
        <v>100</v>
      </c>
      <c r="T14" s="773" t="s">
        <v>17</v>
      </c>
      <c r="U14" s="774">
        <f t="shared" si="1"/>
        <v>100</v>
      </c>
      <c r="V14" s="773" t="s">
        <v>17</v>
      </c>
      <c r="W14" s="774">
        <f t="shared" si="2"/>
        <v>100</v>
      </c>
      <c r="X14" s="1809"/>
      <c r="Y14" s="3192" t="s">
        <v>2552</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8"/>
      <c r="M15" s="1129"/>
      <c r="N15" s="1129"/>
      <c r="O15" s="1137"/>
      <c r="P15" s="3193"/>
      <c r="Q15" s="1806"/>
      <c r="R15" s="773"/>
      <c r="S15" s="774"/>
      <c r="T15" s="773"/>
      <c r="U15" s="774"/>
      <c r="V15" s="773"/>
      <c r="W15" s="774"/>
      <c r="X15" s="1809"/>
      <c r="Y15" s="3193"/>
      <c r="Z15" s="1810"/>
      <c r="AA15" s="1807">
        <v>1</v>
      </c>
      <c r="AB15" s="1807">
        <v>1</v>
      </c>
      <c r="AC15" s="1807">
        <v>1</v>
      </c>
    </row>
    <row r="16" spans="1:29" ht="42.75">
      <c r="A16" s="427"/>
      <c r="B16" s="450" t="s">
        <v>2680</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93"/>
      <c r="Q16" s="1806" t="str">
        <f>B16</f>
        <v>公共配套设施</v>
      </c>
      <c r="R16" s="773" t="s">
        <v>17</v>
      </c>
      <c r="S16" s="774">
        <f>F16</f>
        <v>100</v>
      </c>
      <c r="T16" s="773" t="s">
        <v>17</v>
      </c>
      <c r="U16" s="774">
        <f>H16</f>
        <v>100</v>
      </c>
      <c r="V16" s="773" t="s">
        <v>17</v>
      </c>
      <c r="W16" s="774">
        <f>J16</f>
        <v>100</v>
      </c>
      <c r="X16" s="1809"/>
      <c r="Y16" s="3193"/>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8"/>
      <c r="M17" s="1129"/>
      <c r="N17" s="1129"/>
      <c r="O17" s="1137"/>
      <c r="P17" s="3193"/>
      <c r="Q17" s="1806"/>
      <c r="R17" s="773"/>
      <c r="S17" s="774"/>
      <c r="T17" s="773"/>
      <c r="U17" s="774"/>
      <c r="V17" s="773"/>
      <c r="W17" s="774"/>
      <c r="X17" s="1809"/>
      <c r="Y17" s="3193"/>
      <c r="Z17" s="1810"/>
      <c r="AA17" s="1807">
        <v>1</v>
      </c>
      <c r="AB17" s="1807">
        <v>1</v>
      </c>
      <c r="AC17" s="1807">
        <v>1</v>
      </c>
    </row>
    <row r="18" spans="1:29" ht="28.5">
      <c r="A18" s="427"/>
      <c r="B18" s="1382" t="s">
        <v>2681</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93"/>
      <c r="Q18" s="1806" t="str">
        <f>B18</f>
        <v>基础设施水平</v>
      </c>
      <c r="R18" s="773" t="s">
        <v>17</v>
      </c>
      <c r="S18" s="774">
        <f>F18</f>
        <v>100</v>
      </c>
      <c r="T18" s="773" t="s">
        <v>17</v>
      </c>
      <c r="U18" s="774">
        <f>H18</f>
        <v>100</v>
      </c>
      <c r="V18" s="773" t="s">
        <v>17</v>
      </c>
      <c r="W18" s="774">
        <f>J18</f>
        <v>100</v>
      </c>
      <c r="X18" s="1809"/>
      <c r="Y18" s="3193"/>
      <c r="Z18" s="1810" t="str">
        <f>Q18</f>
        <v>基础设施水平</v>
      </c>
      <c r="AA18" s="1807">
        <f t="shared" ref="AA18" si="8">D18/F18</f>
        <v>1</v>
      </c>
      <c r="AB18" s="1807">
        <f t="shared" ref="AB18" si="9">D18/H18</f>
        <v>1</v>
      </c>
      <c r="AC18" s="1807">
        <f t="shared" ref="AC18" si="10">D18/J18</f>
        <v>1</v>
      </c>
    </row>
    <row r="19" spans="1:29" ht="15">
      <c r="A19" s="427"/>
      <c r="B19" s="1382"/>
      <c r="C19" s="2600"/>
      <c r="D19" s="449"/>
      <c r="E19" s="2600"/>
      <c r="F19" s="452"/>
      <c r="G19" s="2600"/>
      <c r="H19" s="447"/>
      <c r="I19" s="446"/>
      <c r="J19" s="447"/>
      <c r="K19" s="1381"/>
      <c r="L19" s="1138"/>
      <c r="M19" s="1129"/>
      <c r="N19" s="1129"/>
      <c r="O19" s="1137"/>
      <c r="P19" s="3193"/>
      <c r="Q19" s="1806"/>
      <c r="R19" s="773"/>
      <c r="S19" s="774"/>
      <c r="T19" s="773"/>
      <c r="U19" s="774"/>
      <c r="V19" s="773"/>
      <c r="W19" s="774"/>
      <c r="X19" s="1809"/>
      <c r="Y19" s="3193"/>
      <c r="Z19" s="1810"/>
      <c r="AA19" s="1807">
        <v>1</v>
      </c>
      <c r="AB19" s="1807">
        <v>1</v>
      </c>
      <c r="AC19" s="1807">
        <v>1</v>
      </c>
    </row>
    <row r="20" spans="1:29" ht="57">
      <c r="A20" s="427"/>
      <c r="B20" s="450" t="s">
        <v>2702</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93"/>
      <c r="Q20" s="1806" t="str">
        <f>B20</f>
        <v>自然及人文环境</v>
      </c>
      <c r="R20" s="773" t="s">
        <v>17</v>
      </c>
      <c r="S20" s="774">
        <f>F20</f>
        <v>100</v>
      </c>
      <c r="T20" s="773" t="s">
        <v>17</v>
      </c>
      <c r="U20" s="774">
        <f>H20</f>
        <v>100</v>
      </c>
      <c r="V20" s="773" t="s">
        <v>17</v>
      </c>
      <c r="W20" s="774">
        <f>J20</f>
        <v>100</v>
      </c>
      <c r="X20" s="1809"/>
      <c r="Y20" s="3193"/>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8"/>
      <c r="M21" s="1129"/>
      <c r="N21" s="1129"/>
      <c r="O21" s="1137"/>
      <c r="P21" s="3193"/>
      <c r="Q21" s="1806"/>
      <c r="R21" s="773"/>
      <c r="S21" s="774"/>
      <c r="T21" s="773"/>
      <c r="U21" s="774"/>
      <c r="V21" s="773"/>
      <c r="W21" s="774"/>
      <c r="X21" s="1809"/>
      <c r="Y21" s="3193"/>
      <c r="Z21" s="1810"/>
      <c r="AA21" s="1807">
        <v>1</v>
      </c>
      <c r="AB21" s="1807">
        <v>1</v>
      </c>
      <c r="AC21" s="1807">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93"/>
      <c r="Q22" s="1806" t="str">
        <f>B22</f>
        <v>楼层</v>
      </c>
      <c r="R22" s="773" t="s">
        <v>17</v>
      </c>
      <c r="S22" s="774">
        <f>F22</f>
        <v>100</v>
      </c>
      <c r="T22" s="773" t="s">
        <v>17</v>
      </c>
      <c r="U22" s="774">
        <f>H22</f>
        <v>100</v>
      </c>
      <c r="V22" s="773" t="s">
        <v>17</v>
      </c>
      <c r="W22" s="774">
        <f>J22</f>
        <v>100</v>
      </c>
      <c r="X22" s="1809"/>
      <c r="Y22" s="3193"/>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93"/>
      <c r="Q23" s="1806">
        <f>B23</f>
        <v>111</v>
      </c>
      <c r="R23" s="773" t="s">
        <v>17</v>
      </c>
      <c r="S23" s="774">
        <f>F23</f>
        <v>100</v>
      </c>
      <c r="T23" s="773" t="s">
        <v>17</v>
      </c>
      <c r="U23" s="774">
        <f>H23</f>
        <v>100</v>
      </c>
      <c r="V23" s="773" t="s">
        <v>17</v>
      </c>
      <c r="W23" s="774">
        <f>J23</f>
        <v>100</v>
      </c>
      <c r="X23" s="1809"/>
      <c r="Y23" s="3193"/>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93"/>
      <c r="Q24" s="1806">
        <f t="shared" ref="Q24:Q34" si="11">B24</f>
        <v>111</v>
      </c>
      <c r="R24" s="773" t="s">
        <v>17</v>
      </c>
      <c r="S24" s="774">
        <f>F24</f>
        <v>100</v>
      </c>
      <c r="T24" s="773" t="s">
        <v>17</v>
      </c>
      <c r="U24" s="774">
        <f>H24</f>
        <v>100</v>
      </c>
      <c r="V24" s="773" t="s">
        <v>17</v>
      </c>
      <c r="W24" s="774">
        <f>J24</f>
        <v>100</v>
      </c>
      <c r="X24" s="1809"/>
      <c r="Y24" s="3193"/>
      <c r="Z24" s="1810">
        <f>Q24</f>
        <v>111</v>
      </c>
      <c r="AA24" s="1807">
        <f t="shared" si="3"/>
        <v>1</v>
      </c>
      <c r="AB24" s="1807">
        <f t="shared" si="4"/>
        <v>1</v>
      </c>
      <c r="AC24" s="1807">
        <f t="shared" si="5"/>
        <v>1</v>
      </c>
    </row>
    <row r="25" spans="1:29" s="116" customFormat="1" ht="15.75" thickBot="1">
      <c r="A25" s="430"/>
      <c r="B25" s="2592">
        <v>111</v>
      </c>
      <c r="C25" s="2688"/>
      <c r="D25" s="664">
        <v>100</v>
      </c>
      <c r="E25" s="2688"/>
      <c r="F25" s="665">
        <f>SUMIF(75:75,E25,76:76)-SUMIF(75:75,C25,76:76)+100</f>
        <v>100</v>
      </c>
      <c r="G25" s="2688"/>
      <c r="H25" s="664">
        <f>SUMIF(75:75,G25,76:76)-SUMIF(75:75,C25,76:76)+100</f>
        <v>100</v>
      </c>
      <c r="I25" s="2688"/>
      <c r="J25" s="664">
        <f>SUMIF(75:75,I25,76:76)-SUMIF(75:75,C25,76:76)+100</f>
        <v>100</v>
      </c>
      <c r="K25" s="612"/>
      <c r="L25" s="1130"/>
      <c r="M25" s="1131"/>
      <c r="N25" s="1131"/>
      <c r="O25" s="1132"/>
      <c r="P25" s="3193"/>
      <c r="Q25" s="1791">
        <f t="shared" si="11"/>
        <v>111</v>
      </c>
      <c r="R25" s="769" t="s">
        <v>17</v>
      </c>
      <c r="S25" s="770">
        <f>F25</f>
        <v>100</v>
      </c>
      <c r="T25" s="769" t="s">
        <v>17</v>
      </c>
      <c r="U25" s="770">
        <f>H25</f>
        <v>100</v>
      </c>
      <c r="V25" s="769" t="s">
        <v>17</v>
      </c>
      <c r="W25" s="770">
        <f>J25</f>
        <v>100</v>
      </c>
      <c r="X25" s="771"/>
      <c r="Y25" s="3193"/>
      <c r="Z25" s="55">
        <f>Q25</f>
        <v>111</v>
      </c>
      <c r="AA25" s="1807">
        <f>D25/F25</f>
        <v>1</v>
      </c>
      <c r="AB25" s="1807">
        <f>D25/H25</f>
        <v>1</v>
      </c>
      <c r="AC25" s="1807">
        <f>D25/J25</f>
        <v>1</v>
      </c>
    </row>
    <row r="26" spans="1:29" ht="15">
      <c r="A26" s="465" t="s">
        <v>2555</v>
      </c>
      <c r="B26" s="71" t="s">
        <v>2706</v>
      </c>
      <c r="C26" s="2669"/>
      <c r="D26" s="466">
        <v>100</v>
      </c>
      <c r="E26" s="2669"/>
      <c r="F26" s="666">
        <f>SUMIF(77:77,E26,78:78)-SUMIF(77:77,C26,78:78)+100</f>
        <v>100</v>
      </c>
      <c r="G26" s="2669"/>
      <c r="H26" s="466">
        <f>SUMIF(77:77,G26,78:78)-SUMIF(77:77,C26,78:78)+100</f>
        <v>100</v>
      </c>
      <c r="I26" s="2669"/>
      <c r="J26" s="466">
        <f>SUMIF(77:77,I26,78:78)-SUMIF(77:77,C26,78:78)+100</f>
        <v>100</v>
      </c>
      <c r="K26" s="611"/>
      <c r="L26" s="1138"/>
      <c r="M26" s="1129"/>
      <c r="N26" s="1129"/>
      <c r="O26" s="1137"/>
      <c r="P26" s="3194" t="s">
        <v>2557</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195" t="s">
        <v>2557</v>
      </c>
      <c r="Z26" s="1810" t="str">
        <f t="shared" ref="Z26:Z34" si="15">Q26</f>
        <v>公共部分装修</v>
      </c>
      <c r="AA26" s="1807">
        <f t="shared" si="3"/>
        <v>1</v>
      </c>
      <c r="AB26" s="1807">
        <f t="shared" si="4"/>
        <v>1</v>
      </c>
      <c r="AC26" s="1807">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95"/>
      <c r="Q27" s="775" t="str">
        <f t="shared" si="11"/>
        <v>成新率</v>
      </c>
      <c r="R27" s="776" t="s">
        <v>17</v>
      </c>
      <c r="S27" s="777" t="e">
        <f t="shared" si="12"/>
        <v>#N/A</v>
      </c>
      <c r="T27" s="776" t="s">
        <v>17</v>
      </c>
      <c r="U27" s="777" t="e">
        <f t="shared" si="13"/>
        <v>#N/A</v>
      </c>
      <c r="V27" s="776" t="s">
        <v>17</v>
      </c>
      <c r="W27" s="777" t="e">
        <f t="shared" si="14"/>
        <v>#N/A</v>
      </c>
      <c r="X27" s="778"/>
      <c r="Y27" s="3195"/>
      <c r="Z27" s="779" t="str">
        <f t="shared" si="15"/>
        <v>成新率</v>
      </c>
      <c r="AA27" s="1807" t="e">
        <f t="shared" si="3"/>
        <v>#N/A</v>
      </c>
      <c r="AB27" s="1807" t="e">
        <f t="shared" si="4"/>
        <v>#N/A</v>
      </c>
      <c r="AC27" s="1807"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95"/>
      <c r="Q28" s="1806" t="str">
        <f t="shared" si="11"/>
        <v>物业等级</v>
      </c>
      <c r="R28" s="773" t="s">
        <v>17</v>
      </c>
      <c r="S28" s="774">
        <f t="shared" si="12"/>
        <v>100</v>
      </c>
      <c r="T28" s="773" t="s">
        <v>17</v>
      </c>
      <c r="U28" s="774">
        <f t="shared" si="13"/>
        <v>100</v>
      </c>
      <c r="V28" s="773" t="s">
        <v>17</v>
      </c>
      <c r="W28" s="774">
        <f t="shared" si="14"/>
        <v>100</v>
      </c>
      <c r="X28" s="1809"/>
      <c r="Y28" s="3195"/>
      <c r="Z28" s="1810" t="str">
        <f t="shared" si="15"/>
        <v>物业等级</v>
      </c>
      <c r="AA28" s="1807">
        <f t="shared" si="3"/>
        <v>1</v>
      </c>
      <c r="AB28" s="1807">
        <f t="shared" si="4"/>
        <v>1</v>
      </c>
      <c r="AC28" s="1807">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195"/>
      <c r="Q29" s="1806" t="str">
        <f t="shared" si="11"/>
        <v>有无电梯</v>
      </c>
      <c r="R29" s="773" t="s">
        <v>17</v>
      </c>
      <c r="S29" s="774">
        <f t="shared" si="12"/>
        <v>100</v>
      </c>
      <c r="T29" s="773" t="s">
        <v>17</v>
      </c>
      <c r="U29" s="774">
        <f t="shared" si="13"/>
        <v>100</v>
      </c>
      <c r="V29" s="773" t="s">
        <v>17</v>
      </c>
      <c r="W29" s="774">
        <f t="shared" si="14"/>
        <v>100</v>
      </c>
      <c r="X29" s="1809"/>
      <c r="Y29" s="3195"/>
      <c r="Z29" s="1810" t="str">
        <f t="shared" si="15"/>
        <v>有无电梯</v>
      </c>
      <c r="AA29" s="1807">
        <f t="shared" si="3"/>
        <v>1</v>
      </c>
      <c r="AB29" s="1807">
        <f t="shared" si="4"/>
        <v>1</v>
      </c>
      <c r="AC29" s="1807">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95"/>
      <c r="Q30" s="1806" t="str">
        <f t="shared" si="11"/>
        <v>建筑面积</v>
      </c>
      <c r="R30" s="773" t="s">
        <v>17</v>
      </c>
      <c r="S30" s="774" t="e">
        <f t="shared" si="12"/>
        <v>#N/A</v>
      </c>
      <c r="T30" s="773" t="s">
        <v>17</v>
      </c>
      <c r="U30" s="774" t="e">
        <f t="shared" si="13"/>
        <v>#N/A</v>
      </c>
      <c r="V30" s="773" t="s">
        <v>17</v>
      </c>
      <c r="W30" s="774" t="e">
        <f t="shared" si="14"/>
        <v>#N/A</v>
      </c>
      <c r="X30" s="1809"/>
      <c r="Y30" s="3195"/>
      <c r="Z30" s="1810" t="str">
        <f t="shared" si="15"/>
        <v>建筑面积</v>
      </c>
      <c r="AA30" s="1807" t="e">
        <f t="shared" si="3"/>
        <v>#N/A</v>
      </c>
      <c r="AB30" s="1807" t="e">
        <f t="shared" si="4"/>
        <v>#N/A</v>
      </c>
      <c r="AC30" s="1807"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195"/>
      <c r="Q31" s="1791" t="str">
        <f t="shared" si="11"/>
        <v>是否封闭</v>
      </c>
      <c r="R31" s="769" t="s">
        <v>17</v>
      </c>
      <c r="S31" s="770">
        <f t="shared" si="12"/>
        <v>100</v>
      </c>
      <c r="T31" s="769" t="s">
        <v>17</v>
      </c>
      <c r="U31" s="770">
        <f t="shared" si="13"/>
        <v>100</v>
      </c>
      <c r="V31" s="769" t="s">
        <v>17</v>
      </c>
      <c r="W31" s="770">
        <f t="shared" si="14"/>
        <v>100</v>
      </c>
      <c r="X31" s="771"/>
      <c r="Y31" s="3195"/>
      <c r="Z31" s="55" t="str">
        <f t="shared" si="15"/>
        <v>是否封闭</v>
      </c>
      <c r="AA31" s="772">
        <f t="shared" si="3"/>
        <v>1</v>
      </c>
      <c r="AB31" s="772">
        <f t="shared" si="4"/>
        <v>1</v>
      </c>
      <c r="AC31" s="772">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95" t="s">
        <v>2557</v>
      </c>
      <c r="Q32" s="1806">
        <f t="shared" si="11"/>
        <v>111</v>
      </c>
      <c r="R32" s="773" t="s">
        <v>17</v>
      </c>
      <c r="S32" s="774">
        <f t="shared" si="12"/>
        <v>100</v>
      </c>
      <c r="T32" s="773" t="s">
        <v>17</v>
      </c>
      <c r="U32" s="774">
        <f t="shared" si="13"/>
        <v>100</v>
      </c>
      <c r="V32" s="773" t="s">
        <v>17</v>
      </c>
      <c r="W32" s="774">
        <f t="shared" si="14"/>
        <v>100</v>
      </c>
      <c r="X32" s="1809"/>
      <c r="Y32" s="3195" t="s">
        <v>2557</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95"/>
      <c r="Q33" s="1806">
        <f t="shared" si="11"/>
        <v>111</v>
      </c>
      <c r="R33" s="773" t="s">
        <v>17</v>
      </c>
      <c r="S33" s="774">
        <f t="shared" si="12"/>
        <v>100</v>
      </c>
      <c r="T33" s="773" t="s">
        <v>17</v>
      </c>
      <c r="U33" s="774">
        <f t="shared" si="13"/>
        <v>100</v>
      </c>
      <c r="V33" s="773" t="s">
        <v>17</v>
      </c>
      <c r="W33" s="774">
        <f t="shared" si="14"/>
        <v>100</v>
      </c>
      <c r="X33" s="1809"/>
      <c r="Y33" s="3195"/>
      <c r="Z33" s="1810">
        <f t="shared" si="15"/>
        <v>111</v>
      </c>
      <c r="AA33" s="1807">
        <f t="shared" si="3"/>
        <v>1</v>
      </c>
      <c r="AB33" s="1807">
        <f t="shared" si="4"/>
        <v>1</v>
      </c>
      <c r="AC33" s="1807">
        <f t="shared" si="5"/>
        <v>1</v>
      </c>
    </row>
    <row r="34" spans="1:29" ht="15.75" thickBot="1">
      <c r="A34" s="477"/>
      <c r="B34" s="2594">
        <v>111</v>
      </c>
      <c r="C34" s="436"/>
      <c r="D34" s="437">
        <v>100</v>
      </c>
      <c r="E34" s="2687"/>
      <c r="F34" s="438">
        <f>SUMIF(95:95,E34,96:96)-SUMIF(95:95,C34,96:96)+100</f>
        <v>100</v>
      </c>
      <c r="G34" s="2687"/>
      <c r="H34" s="437">
        <f>SUMIF(95:95,G34,96:96)-SUMIF(95:95,C34,96:96)+100</f>
        <v>100</v>
      </c>
      <c r="I34" s="2687"/>
      <c r="J34" s="437">
        <f>SUMIF(95:95,I34,96:96)-SUMIF(95:95,C34,96:96)+100</f>
        <v>100</v>
      </c>
      <c r="K34" s="612"/>
      <c r="L34" s="1138"/>
      <c r="M34" s="1129"/>
      <c r="N34" s="1129"/>
      <c r="O34" s="1137"/>
      <c r="P34" s="3195"/>
      <c r="Q34" s="1806">
        <f t="shared" si="11"/>
        <v>111</v>
      </c>
      <c r="R34" s="773" t="s">
        <v>17</v>
      </c>
      <c r="S34" s="774">
        <f t="shared" si="12"/>
        <v>100</v>
      </c>
      <c r="T34" s="773" t="s">
        <v>17</v>
      </c>
      <c r="U34" s="774">
        <f t="shared" si="13"/>
        <v>100</v>
      </c>
      <c r="V34" s="773" t="s">
        <v>17</v>
      </c>
      <c r="W34" s="774">
        <f t="shared" si="14"/>
        <v>100</v>
      </c>
      <c r="X34" s="1809"/>
      <c r="Y34" s="3195"/>
      <c r="Z34" s="1810">
        <f t="shared" si="15"/>
        <v>111</v>
      </c>
      <c r="AA34" s="1807">
        <f t="shared" si="3"/>
        <v>1</v>
      </c>
      <c r="AB34" s="1807">
        <f t="shared" si="4"/>
        <v>1</v>
      </c>
      <c r="AC34" s="1807">
        <f t="shared" si="5"/>
        <v>1</v>
      </c>
    </row>
    <row r="35" spans="1:29" ht="15">
      <c r="A35" s="478" t="s">
        <v>2569</v>
      </c>
      <c r="B35" s="479"/>
      <c r="C35" s="1404" t="s">
        <v>1</v>
      </c>
      <c r="D35" s="1405"/>
      <c r="E35" s="1406"/>
      <c r="F35" s="1407"/>
      <c r="G35" s="1408"/>
      <c r="H35" s="1409"/>
      <c r="I35" s="1406"/>
      <c r="J35" s="1409"/>
      <c r="K35" s="782"/>
      <c r="L35" s="1141"/>
      <c r="M35" s="1142"/>
      <c r="N35" s="1129"/>
      <c r="O35" s="1142"/>
      <c r="P35" s="3190" t="str">
        <f>A35</f>
        <v>成交单价（元/平方米）</v>
      </c>
      <c r="Q35" s="3190"/>
      <c r="R35" s="3228">
        <f>E35</f>
        <v>0</v>
      </c>
      <c r="S35" s="3228"/>
      <c r="T35" s="3228">
        <f>G35</f>
        <v>0</v>
      </c>
      <c r="U35" s="3228"/>
      <c r="V35" s="3228">
        <f>I35</f>
        <v>0</v>
      </c>
      <c r="W35" s="3228"/>
      <c r="X35" s="758"/>
      <c r="Y35" s="780"/>
      <c r="Z35" s="758"/>
      <c r="AA35" s="758"/>
      <c r="AB35" s="758"/>
      <c r="AC35" s="758"/>
    </row>
    <row r="36" spans="1:29" ht="15.75" thickBot="1">
      <c r="A36" s="485" t="s">
        <v>2661</v>
      </c>
      <c r="B36" s="486"/>
      <c r="C36" s="1410" t="e">
        <f>R37</f>
        <v>#DIV/0!</v>
      </c>
      <c r="D36" s="1411"/>
      <c r="E36" s="1412" t="e">
        <f>R36</f>
        <v>#DIV/0!</v>
      </c>
      <c r="F36" s="1412"/>
      <c r="G36" s="1410" t="e">
        <f>T36</f>
        <v>#DIV/0!</v>
      </c>
      <c r="H36" s="1411"/>
      <c r="I36" s="1412" t="e">
        <f>V36</f>
        <v>#DIV/0!</v>
      </c>
      <c r="J36" s="1411"/>
      <c r="K36" s="783"/>
      <c r="L36" s="1141"/>
      <c r="M36" s="1142"/>
      <c r="N36" s="1129"/>
      <c r="O36" s="1142"/>
      <c r="P36" s="3190" t="str">
        <f>A36</f>
        <v>比较价值（元/平方米）</v>
      </c>
      <c r="Q36" s="3190"/>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8"/>
      <c r="Y36" s="758"/>
      <c r="Z36" s="758"/>
      <c r="AA36" s="758"/>
      <c r="AB36" s="758"/>
      <c r="AC36" s="758"/>
    </row>
    <row r="37" spans="1:29" ht="15.75" thickBot="1">
      <c r="A37" s="491" t="s">
        <v>2662</v>
      </c>
      <c r="B37" s="492"/>
      <c r="C37" s="1414" t="e">
        <f>R37</f>
        <v>#DIV/0!</v>
      </c>
      <c r="D37" s="1414"/>
      <c r="E37" s="1414"/>
      <c r="F37" s="1414"/>
      <c r="G37" s="1414"/>
      <c r="H37" s="1414"/>
      <c r="I37" s="1414"/>
      <c r="J37" s="1414"/>
      <c r="K37" s="784"/>
      <c r="L37" s="1141"/>
      <c r="M37" s="1142"/>
      <c r="N37" s="1142"/>
      <c r="O37" s="1142"/>
      <c r="P37" s="3184" t="str">
        <f>A37</f>
        <v>估价对象XX用房的比较价值（楼面单价，元/平方米）</v>
      </c>
      <c r="Q37" s="3185"/>
      <c r="R37" s="3227" t="e">
        <f>IF(F1="售价",ROUND(AVERAGE(R36:V36),0),ROUND(AVERAGE(R36:V36),1))</f>
        <v>#DIV/0!</v>
      </c>
      <c r="S37" s="3227"/>
      <c r="T37" s="3227"/>
      <c r="U37" s="3227"/>
      <c r="V37" s="3227"/>
      <c r="W37" s="3227"/>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0" t="str">
        <f>YEAR(C7)&amp;"-"&amp;MONTH(C7)</f>
        <v>2018-11</v>
      </c>
      <c r="D46" s="1571">
        <f>EDATE(C46,-1)</f>
        <v>43374</v>
      </c>
      <c r="E46" s="1571">
        <f t="shared" ref="E46:O46" si="16">EDATE(D46,-1)</f>
        <v>43344</v>
      </c>
      <c r="F46" s="1571">
        <f t="shared" si="16"/>
        <v>43313</v>
      </c>
      <c r="G46" s="1571">
        <f t="shared" si="16"/>
        <v>43282</v>
      </c>
      <c r="H46" s="1571">
        <f t="shared" si="16"/>
        <v>43252</v>
      </c>
      <c r="I46" s="1571">
        <f t="shared" si="16"/>
        <v>43221</v>
      </c>
      <c r="J46" s="1571">
        <f t="shared" si="16"/>
        <v>43191</v>
      </c>
      <c r="K46" s="1571">
        <f t="shared" si="16"/>
        <v>43160</v>
      </c>
      <c r="L46" s="1571">
        <f t="shared" si="16"/>
        <v>43132</v>
      </c>
      <c r="M46" s="1571">
        <f t="shared" si="16"/>
        <v>43101</v>
      </c>
      <c r="N46" s="1571">
        <f t="shared" si="16"/>
        <v>43070</v>
      </c>
      <c r="O46" s="1571">
        <f t="shared" si="16"/>
        <v>43040</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2721</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2733</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402" customWidth="1"/>
    <col min="2" max="2" width="15.625" style="402" customWidth="1"/>
    <col min="3" max="3" width="14.375" style="402" customWidth="1"/>
    <col min="4" max="4" width="12.125" style="402" customWidth="1"/>
    <col min="5" max="5" width="14.375" style="402" customWidth="1"/>
    <col min="6" max="6" width="12.125" style="402" customWidth="1"/>
    <col min="7" max="7" width="14.5" style="402" customWidth="1"/>
    <col min="8" max="8" width="12.125" style="402" customWidth="1"/>
    <col min="9" max="9" width="14.5" style="402" customWidth="1"/>
    <col min="10" max="10" width="12.125" style="402" customWidth="1"/>
    <col min="11" max="11" width="12.125" style="494" customWidth="1"/>
    <col min="12" max="12" width="12.125" style="495" customWidth="1"/>
    <col min="13" max="15" width="12.125" style="402" customWidth="1"/>
    <col min="16" max="16" width="4.625" style="402" customWidth="1"/>
    <col min="17" max="17" width="19.5" style="402" customWidth="1"/>
    <col min="18" max="22" width="6.125" style="402" customWidth="1"/>
    <col min="23" max="23" width="5.625" style="402" customWidth="1"/>
    <col min="24" max="24" width="4.125" style="402" customWidth="1"/>
    <col min="25" max="25" width="3.5" style="402" customWidth="1"/>
    <col min="26" max="26" width="19.625" style="402" customWidth="1"/>
    <col min="27" max="28" width="9.375" style="402" customWidth="1"/>
    <col min="29" max="16384" width="8.875" style="402"/>
  </cols>
  <sheetData>
    <row r="1" spans="1:29" s="397" customFormat="1" ht="28.5" customHeight="1">
      <c r="A1" s="393" t="s">
        <v>2736</v>
      </c>
      <c r="B1" s="394"/>
      <c r="C1" s="395" t="s">
        <v>2786</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ROUND(IF(D3="",B2*10000/'数据-汇总表'!E3,B2*10000/D3),0)</f>
        <v>#DIV/0!</v>
      </c>
      <c r="C3" s="246" t="s">
        <v>2738</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187" t="s">
        <v>2638</v>
      </c>
      <c r="D4" s="3200"/>
      <c r="E4" s="3201" t="s">
        <v>2639</v>
      </c>
      <c r="F4" s="3202"/>
      <c r="G4" s="3187" t="s">
        <v>2640</v>
      </c>
      <c r="H4" s="3200"/>
      <c r="I4" s="3187" t="s">
        <v>2641</v>
      </c>
      <c r="J4" s="3200"/>
      <c r="K4" s="609" t="s">
        <v>2642</v>
      </c>
      <c r="L4" s="1128"/>
      <c r="M4" s="1129"/>
      <c r="N4" s="1129"/>
      <c r="O4" s="1129"/>
      <c r="P4" s="3203" t="s">
        <v>2643</v>
      </c>
      <c r="Q4" s="3204"/>
      <c r="R4" s="3209" t="s">
        <v>2639</v>
      </c>
      <c r="S4" s="3210"/>
      <c r="T4" s="3209" t="s">
        <v>2640</v>
      </c>
      <c r="U4" s="3210"/>
      <c r="V4" s="3196" t="s">
        <v>2641</v>
      </c>
      <c r="W4" s="3196"/>
      <c r="X4" s="1809"/>
      <c r="Y4" s="3209" t="s">
        <v>2643</v>
      </c>
      <c r="Z4" s="3210"/>
      <c r="AA4" s="3197" t="s">
        <v>2639</v>
      </c>
      <c r="AB4" s="3198" t="s">
        <v>2640</v>
      </c>
      <c r="AC4" s="3197" t="s">
        <v>2641</v>
      </c>
    </row>
    <row r="5" spans="1:29" ht="15">
      <c r="A5" s="403"/>
      <c r="B5" s="404"/>
      <c r="C5" s="3217" t="s">
        <v>2534</v>
      </c>
      <c r="D5" s="3218"/>
      <c r="E5" s="3224" t="s">
        <v>2535</v>
      </c>
      <c r="F5" s="3225"/>
      <c r="G5" s="3217" t="s">
        <v>2536</v>
      </c>
      <c r="H5" s="3218"/>
      <c r="I5" s="3217" t="s">
        <v>2537</v>
      </c>
      <c r="J5" s="3218"/>
      <c r="K5" s="609"/>
      <c r="L5" s="1128"/>
      <c r="M5" s="1129"/>
      <c r="N5" s="1129"/>
      <c r="O5" s="1129"/>
      <c r="P5" s="3205"/>
      <c r="Q5" s="3206"/>
      <c r="R5" s="3211"/>
      <c r="S5" s="3212"/>
      <c r="T5" s="3211"/>
      <c r="U5" s="3212"/>
      <c r="V5" s="3196"/>
      <c r="W5" s="3196"/>
      <c r="X5" s="1809"/>
      <c r="Y5" s="3211"/>
      <c r="Z5" s="3212"/>
      <c r="AA5" s="3198"/>
      <c r="AB5" s="3198"/>
      <c r="AC5" s="3198"/>
    </row>
    <row r="6" spans="1:29" ht="15.75" thickBot="1">
      <c r="A6" s="405"/>
      <c r="B6" s="406"/>
      <c r="C6" s="3279" t="s">
        <v>2787</v>
      </c>
      <c r="D6" s="3280"/>
      <c r="E6" s="3281" t="s">
        <v>2787</v>
      </c>
      <c r="F6" s="3282"/>
      <c r="G6" s="3279" t="s">
        <v>2787</v>
      </c>
      <c r="H6" s="3280"/>
      <c r="I6" s="3279" t="s">
        <v>2787</v>
      </c>
      <c r="J6" s="3280"/>
      <c r="K6" s="609" t="s">
        <v>2539</v>
      </c>
      <c r="L6" s="1128"/>
      <c r="M6" s="1129"/>
      <c r="N6" s="1129"/>
      <c r="O6" s="1129"/>
      <c r="P6" s="3207"/>
      <c r="Q6" s="3208"/>
      <c r="R6" s="3211"/>
      <c r="S6" s="3212"/>
      <c r="T6" s="3213"/>
      <c r="U6" s="3214"/>
      <c r="V6" s="3196"/>
      <c r="W6" s="3196"/>
      <c r="X6" s="1809"/>
      <c r="Y6" s="3213"/>
      <c r="Z6" s="3214"/>
      <c r="AA6" s="3199"/>
      <c r="AB6" s="3199"/>
      <c r="AC6" s="3199"/>
    </row>
    <row r="7" spans="1:29" s="116" customFormat="1" ht="15.75" thickBot="1">
      <c r="A7" s="407" t="s">
        <v>2540</v>
      </c>
      <c r="B7" s="408"/>
      <c r="C7" s="409">
        <f>'数据-取费表'!B2</f>
        <v>43424</v>
      </c>
      <c r="D7" s="410">
        <v>100</v>
      </c>
      <c r="E7" s="411"/>
      <c r="F7" s="412">
        <f>SUMIF(65:65,YEAR(E7)&amp;"-"&amp;INT((MONTH(E7)+2)/3),66:66)</f>
        <v>0</v>
      </c>
      <c r="G7" s="2686"/>
      <c r="H7" s="410">
        <f>SUMIF(65:65,YEAR(G7)&amp;"-"&amp;INT((MONTH(G7)+2)/3),66:66)</f>
        <v>0</v>
      </c>
      <c r="I7" s="2686"/>
      <c r="J7" s="410">
        <f>SUMIF(65:65,YEAR(I7)&amp;"-"&amp;INT((MONTH(I7)+2)/3),66:66)</f>
        <v>0</v>
      </c>
      <c r="K7" s="610"/>
      <c r="L7" s="1130"/>
      <c r="M7" s="1131"/>
      <c r="N7" s="1131"/>
      <c r="O7" s="1131"/>
      <c r="P7" s="3219" t="s">
        <v>2541</v>
      </c>
      <c r="Q7" s="3221"/>
      <c r="R7" s="769" t="s">
        <v>17</v>
      </c>
      <c r="S7" s="770">
        <f t="shared" ref="S7:S15" si="0">F7</f>
        <v>0</v>
      </c>
      <c r="T7" s="769" t="s">
        <v>17</v>
      </c>
      <c r="U7" s="770">
        <f t="shared" ref="U7:U15" si="1">H7</f>
        <v>0</v>
      </c>
      <c r="V7" s="769" t="s">
        <v>17</v>
      </c>
      <c r="W7" s="770">
        <f t="shared" ref="W7:W15" si="2">J7</f>
        <v>0</v>
      </c>
      <c r="X7" s="771"/>
      <c r="Y7" s="3219" t="s">
        <v>2541</v>
      </c>
      <c r="Z7" s="3220"/>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19" t="s">
        <v>2544</v>
      </c>
      <c r="Q8" s="3220"/>
      <c r="R8" s="769" t="s">
        <v>17</v>
      </c>
      <c r="S8" s="770">
        <f t="shared" si="0"/>
        <v>0</v>
      </c>
      <c r="T8" s="769" t="s">
        <v>17</v>
      </c>
      <c r="U8" s="770">
        <f t="shared" si="1"/>
        <v>0</v>
      </c>
      <c r="V8" s="769" t="s">
        <v>17</v>
      </c>
      <c r="W8" s="770">
        <f t="shared" si="2"/>
        <v>0</v>
      </c>
      <c r="X8" s="771"/>
      <c r="Y8" s="3219" t="s">
        <v>2544</v>
      </c>
      <c r="Z8" s="3220"/>
      <c r="AA8" s="772" t="e">
        <f t="shared" ref="AA8:AA40" si="3">D8/F8</f>
        <v>#DIV/0!</v>
      </c>
      <c r="AB8" s="772" t="e">
        <f t="shared" ref="AB8:AB40" si="4">D8/H8</f>
        <v>#DIV/0!</v>
      </c>
      <c r="AC8" s="772" t="e">
        <f t="shared" ref="AC8:AC40" si="5">D8/J8</f>
        <v>#DIV/0!</v>
      </c>
    </row>
    <row r="9" spans="1:29" s="116" customFormat="1">
      <c r="A9" s="414" t="s">
        <v>2545</v>
      </c>
      <c r="B9" s="71" t="s">
        <v>2546</v>
      </c>
      <c r="C9" s="2689"/>
      <c r="D9" s="134">
        <v>100</v>
      </c>
      <c r="E9" s="2689"/>
      <c r="F9" s="134">
        <f>SUMIF(70:70,E9,71:71)-SUMIF(70:70,C9,71:71)+100</f>
        <v>100</v>
      </c>
      <c r="G9" s="2689"/>
      <c r="H9" s="134">
        <f>SUMIF(70:70,G9,71:71)-SUMIF(70:70,C9,71:71)+100</f>
        <v>100</v>
      </c>
      <c r="I9" s="2689"/>
      <c r="J9" s="134">
        <f>SUMIF(70:70,I9,71:71)-SUMIF(70:70,C9,71:71)+100</f>
        <v>100</v>
      </c>
      <c r="K9" s="610"/>
      <c r="L9" s="1130"/>
      <c r="M9" s="1131"/>
      <c r="N9" s="1131"/>
      <c r="O9" s="1132"/>
      <c r="P9" s="3190" t="s">
        <v>2547</v>
      </c>
      <c r="Q9" s="1791" t="str">
        <f t="shared" ref="Q9:Q15" si="6">B9</f>
        <v>用途</v>
      </c>
      <c r="R9" s="769" t="s">
        <v>17</v>
      </c>
      <c r="S9" s="770">
        <f t="shared" si="0"/>
        <v>100</v>
      </c>
      <c r="T9" s="769" t="s">
        <v>17</v>
      </c>
      <c r="U9" s="770">
        <f t="shared" si="1"/>
        <v>100</v>
      </c>
      <c r="V9" s="769" t="s">
        <v>17</v>
      </c>
      <c r="W9" s="770">
        <f t="shared" si="2"/>
        <v>100</v>
      </c>
      <c r="X9" s="771"/>
      <c r="Y9" s="3033"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190"/>
      <c r="Q10" s="1791" t="str">
        <f t="shared" si="6"/>
        <v>土地使用年限（年）</v>
      </c>
      <c r="R10" s="769" t="s">
        <v>17</v>
      </c>
      <c r="S10" s="770">
        <f t="shared" si="0"/>
        <v>101</v>
      </c>
      <c r="T10" s="769" t="s">
        <v>17</v>
      </c>
      <c r="U10" s="770">
        <f t="shared" si="1"/>
        <v>101</v>
      </c>
      <c r="V10" s="769" t="s">
        <v>17</v>
      </c>
      <c r="W10" s="770">
        <f t="shared" si="2"/>
        <v>101</v>
      </c>
      <c r="X10" s="771"/>
      <c r="Y10" s="3033"/>
      <c r="Z10" s="55" t="str">
        <f t="shared" si="7"/>
        <v>土地使用年限（年）</v>
      </c>
      <c r="AA10" s="772">
        <f t="shared" si="3"/>
        <v>0.99009900990099009</v>
      </c>
      <c r="AB10" s="772">
        <f t="shared" si="4"/>
        <v>0.99009900990099009</v>
      </c>
      <c r="AC10" s="772">
        <f t="shared" si="5"/>
        <v>0.99009900990099009</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90"/>
      <c r="Q11" s="1791"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6"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90"/>
      <c r="Q12" s="1791">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90"/>
      <c r="Q13" s="1791">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90"/>
      <c r="Q14" s="1791">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2551</v>
      </c>
      <c r="B15" s="628" t="s">
        <v>2788</v>
      </c>
      <c r="C15" s="268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192" t="s">
        <v>2552</v>
      </c>
      <c r="Q15" s="1806" t="str">
        <f t="shared" si="6"/>
        <v>产业集聚程度</v>
      </c>
      <c r="R15" s="773" t="s">
        <v>17</v>
      </c>
      <c r="S15" s="774">
        <f t="shared" si="0"/>
        <v>100</v>
      </c>
      <c r="T15" s="773" t="s">
        <v>17</v>
      </c>
      <c r="U15" s="774">
        <f t="shared" si="1"/>
        <v>100</v>
      </c>
      <c r="V15" s="773" t="s">
        <v>17</v>
      </c>
      <c r="W15" s="774">
        <f t="shared" si="2"/>
        <v>100</v>
      </c>
      <c r="X15" s="1809"/>
      <c r="Y15" s="3192" t="s">
        <v>2552</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8"/>
      <c r="M16" s="1129"/>
      <c r="N16" s="1129"/>
      <c r="O16" s="1137"/>
      <c r="P16" s="3193"/>
      <c r="Q16" s="1806"/>
      <c r="R16" s="773"/>
      <c r="S16" s="774"/>
      <c r="T16" s="773"/>
      <c r="U16" s="774"/>
      <c r="V16" s="773"/>
      <c r="W16" s="774"/>
      <c r="X16" s="1809"/>
      <c r="Y16" s="3193"/>
      <c r="Z16" s="1810"/>
      <c r="AA16" s="1807">
        <v>1</v>
      </c>
      <c r="AB16" s="1807">
        <v>1</v>
      </c>
      <c r="AC16" s="1807">
        <v>1</v>
      </c>
    </row>
    <row r="17" spans="1:29" ht="85.5">
      <c r="A17" s="427"/>
      <c r="B17" s="630" t="s">
        <v>2701</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193"/>
      <c r="Q17" s="1806" t="str">
        <f>B17</f>
        <v>交通便捷度</v>
      </c>
      <c r="R17" s="773" t="s">
        <v>17</v>
      </c>
      <c r="S17" s="774">
        <f>F17</f>
        <v>100</v>
      </c>
      <c r="T17" s="773" t="s">
        <v>17</v>
      </c>
      <c r="U17" s="774">
        <f>H17</f>
        <v>100</v>
      </c>
      <c r="V17" s="773" t="s">
        <v>17</v>
      </c>
      <c r="W17" s="774">
        <f>J17</f>
        <v>100</v>
      </c>
      <c r="X17" s="1809"/>
      <c r="Y17" s="3193"/>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8"/>
      <c r="M18" s="1129"/>
      <c r="N18" s="1129"/>
      <c r="O18" s="1137"/>
      <c r="P18" s="3193"/>
      <c r="Q18" s="1806"/>
      <c r="R18" s="773"/>
      <c r="S18" s="774"/>
      <c r="T18" s="773"/>
      <c r="U18" s="774"/>
      <c r="V18" s="773"/>
      <c r="W18" s="774"/>
      <c r="X18" s="1809"/>
      <c r="Y18" s="3193"/>
      <c r="Z18" s="1810"/>
      <c r="AA18" s="1807">
        <v>1</v>
      </c>
      <c r="AB18" s="1807">
        <v>1</v>
      </c>
      <c r="AC18" s="1807">
        <v>1</v>
      </c>
    </row>
    <row r="19" spans="1:29" ht="15">
      <c r="A19" s="427"/>
      <c r="B19" s="630" t="s">
        <v>2739</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193"/>
      <c r="Q19" s="1806" t="str">
        <f t="shared" ref="Q19:Q33" si="8">B19</f>
        <v>区域土地利用方向</v>
      </c>
      <c r="R19" s="773" t="s">
        <v>17</v>
      </c>
      <c r="S19" s="774">
        <f>F19</f>
        <v>100</v>
      </c>
      <c r="T19" s="773" t="s">
        <v>17</v>
      </c>
      <c r="U19" s="774">
        <f>H19</f>
        <v>100</v>
      </c>
      <c r="V19" s="773" t="s">
        <v>17</v>
      </c>
      <c r="W19" s="774">
        <f>J19</f>
        <v>100</v>
      </c>
      <c r="X19" s="1809"/>
      <c r="Y19" s="3193"/>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7"/>
      <c r="L20" s="1138"/>
      <c r="M20" s="1129"/>
      <c r="N20" s="1129"/>
      <c r="O20" s="1137"/>
      <c r="P20" s="3193"/>
      <c r="Q20" s="1806"/>
      <c r="R20" s="773"/>
      <c r="S20" s="774"/>
      <c r="T20" s="773"/>
      <c r="U20" s="774"/>
      <c r="V20" s="773"/>
      <c r="W20" s="774"/>
      <c r="X20" s="1809"/>
      <c r="Y20" s="3193"/>
      <c r="Z20" s="1810"/>
      <c r="AA20" s="1807"/>
      <c r="AB20" s="1807"/>
      <c r="AC20" s="1807"/>
    </row>
    <row r="21" spans="1:29" ht="71.25">
      <c r="A21" s="403"/>
      <c r="B21" s="630" t="s">
        <v>2789</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193"/>
      <c r="Q21" s="1806" t="str">
        <f t="shared" si="8"/>
        <v>环境状况</v>
      </c>
      <c r="R21" s="773" t="s">
        <v>17</v>
      </c>
      <c r="S21" s="774">
        <f>F21</f>
        <v>100</v>
      </c>
      <c r="T21" s="773" t="s">
        <v>17</v>
      </c>
      <c r="U21" s="774">
        <f>H21</f>
        <v>100</v>
      </c>
      <c r="V21" s="773" t="s">
        <v>17</v>
      </c>
      <c r="W21" s="774">
        <f>J21</f>
        <v>100</v>
      </c>
      <c r="X21" s="1809"/>
      <c r="Y21" s="3193"/>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8"/>
      <c r="M22" s="1129"/>
      <c r="N22" s="1129"/>
      <c r="O22" s="1137"/>
      <c r="P22" s="3193"/>
      <c r="Q22" s="1806"/>
      <c r="R22" s="773"/>
      <c r="S22" s="774"/>
      <c r="T22" s="773"/>
      <c r="U22" s="774"/>
      <c r="V22" s="773"/>
      <c r="W22" s="774"/>
      <c r="X22" s="1809"/>
      <c r="Y22" s="3193"/>
      <c r="Z22" s="1810"/>
      <c r="AA22" s="1807">
        <v>1</v>
      </c>
      <c r="AB22" s="1807">
        <v>1</v>
      </c>
      <c r="AC22" s="1807">
        <v>1</v>
      </c>
    </row>
    <row r="23" spans="1:29" s="116" customFormat="1" ht="42.75">
      <c r="A23" s="648"/>
      <c r="B23" s="632" t="s">
        <v>2646</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193"/>
      <c r="Q23" s="1791" t="str">
        <f t="shared" si="8"/>
        <v>公共配套设施</v>
      </c>
      <c r="R23" s="769" t="s">
        <v>17</v>
      </c>
      <c r="S23" s="770">
        <f>F23</f>
        <v>100</v>
      </c>
      <c r="T23" s="769" t="s">
        <v>17</v>
      </c>
      <c r="U23" s="770">
        <f>H23</f>
        <v>100</v>
      </c>
      <c r="V23" s="769" t="s">
        <v>17</v>
      </c>
      <c r="W23" s="770">
        <f>J23</f>
        <v>100</v>
      </c>
      <c r="X23" s="771"/>
      <c r="Y23" s="3193"/>
      <c r="Z23" s="55" t="str">
        <f>Q23</f>
        <v>公共配套设施</v>
      </c>
      <c r="AA23" s="1807">
        <f>D23/F23</f>
        <v>1</v>
      </c>
      <c r="AB23" s="1807">
        <f>D23/H23</f>
        <v>1</v>
      </c>
      <c r="AC23" s="1807">
        <f>D23/J23</f>
        <v>1</v>
      </c>
    </row>
    <row r="24" spans="1:29" s="116" customFormat="1" ht="15">
      <c r="A24" s="648"/>
      <c r="B24" s="631"/>
      <c r="C24" s="2690"/>
      <c r="D24" s="447"/>
      <c r="E24" s="2603"/>
      <c r="F24" s="447"/>
      <c r="G24" s="2603"/>
      <c r="H24" s="447"/>
      <c r="I24" s="446"/>
      <c r="J24" s="447"/>
      <c r="K24" s="671"/>
      <c r="L24" s="1130"/>
      <c r="M24" s="1131"/>
      <c r="N24" s="1131"/>
      <c r="O24" s="1132"/>
      <c r="P24" s="3193"/>
      <c r="Q24" s="1791"/>
      <c r="R24" s="769"/>
      <c r="S24" s="770"/>
      <c r="T24" s="769"/>
      <c r="U24" s="770"/>
      <c r="V24" s="769"/>
      <c r="W24" s="770"/>
      <c r="X24" s="771"/>
      <c r="Y24" s="3193"/>
      <c r="Z24" s="55"/>
      <c r="AA24" s="772">
        <v>1</v>
      </c>
      <c r="AB24" s="772">
        <v>1</v>
      </c>
      <c r="AC24" s="772">
        <v>1</v>
      </c>
    </row>
    <row r="25" spans="1:29" s="116" customFormat="1" ht="28.5">
      <c r="A25" s="648"/>
      <c r="B25" s="632" t="s">
        <v>2647</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193"/>
      <c r="Q25" s="1791" t="str">
        <f t="shared" ref="Q25" si="9">B25</f>
        <v>基础设施水平</v>
      </c>
      <c r="R25" s="769" t="s">
        <v>17</v>
      </c>
      <c r="S25" s="770">
        <f>F25</f>
        <v>100</v>
      </c>
      <c r="T25" s="769" t="s">
        <v>17</v>
      </c>
      <c r="U25" s="770">
        <f>H25</f>
        <v>100</v>
      </c>
      <c r="V25" s="769" t="s">
        <v>17</v>
      </c>
      <c r="W25" s="770">
        <f>J25</f>
        <v>100</v>
      </c>
      <c r="X25" s="771"/>
      <c r="Y25" s="3193"/>
      <c r="Z25" s="55" t="str">
        <f>Q25</f>
        <v>基础设施水平</v>
      </c>
      <c r="AA25" s="1807">
        <f>D25/F25</f>
        <v>1</v>
      </c>
      <c r="AB25" s="1807">
        <f>D25/H25</f>
        <v>1</v>
      </c>
      <c r="AC25" s="1807">
        <f>D25/J25</f>
        <v>1</v>
      </c>
    </row>
    <row r="26" spans="1:29" s="116" customFormat="1" ht="15">
      <c r="A26" s="648"/>
      <c r="B26" s="631"/>
      <c r="C26" s="2690"/>
      <c r="D26" s="447"/>
      <c r="E26" s="2691"/>
      <c r="F26" s="447"/>
      <c r="G26" s="2691"/>
      <c r="H26" s="447"/>
      <c r="I26" s="2691"/>
      <c r="J26" s="447"/>
      <c r="K26" s="671"/>
      <c r="L26" s="1130"/>
      <c r="M26" s="1131"/>
      <c r="N26" s="1131"/>
      <c r="O26" s="1132"/>
      <c r="P26" s="3193"/>
      <c r="Q26" s="1791"/>
      <c r="R26" s="769"/>
      <c r="S26" s="770"/>
      <c r="T26" s="769"/>
      <c r="U26" s="770"/>
      <c r="V26" s="769"/>
      <c r="W26" s="770"/>
      <c r="X26" s="771"/>
      <c r="Y26" s="3193"/>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193"/>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193"/>
      <c r="Z27" s="1810" t="str">
        <f t="shared" ref="Z27:Z40" si="13">Q27</f>
        <v>临街状况</v>
      </c>
      <c r="AA27" s="1807">
        <f t="shared" si="3"/>
        <v>1</v>
      </c>
      <c r="AB27" s="1807">
        <f t="shared" si="4"/>
        <v>1</v>
      </c>
      <c r="AC27" s="1807">
        <f t="shared" si="5"/>
        <v>1</v>
      </c>
    </row>
    <row r="28" spans="1:29" ht="27">
      <c r="A28" s="427"/>
      <c r="B28" s="632" t="s">
        <v>2683</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193"/>
      <c r="Q28" s="1806" t="str">
        <f t="shared" si="8"/>
        <v>毗邻道路的类型与等级</v>
      </c>
      <c r="R28" s="773" t="s">
        <v>17</v>
      </c>
      <c r="S28" s="774">
        <f t="shared" si="10"/>
        <v>100</v>
      </c>
      <c r="T28" s="773" t="s">
        <v>17</v>
      </c>
      <c r="U28" s="774">
        <f t="shared" si="11"/>
        <v>100</v>
      </c>
      <c r="V28" s="773" t="s">
        <v>17</v>
      </c>
      <c r="W28" s="774">
        <f t="shared" si="12"/>
        <v>100</v>
      </c>
      <c r="X28" s="1809"/>
      <c r="Y28" s="3193"/>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8"/>
      <c r="M29" s="1129"/>
      <c r="N29" s="1129"/>
      <c r="O29" s="1137"/>
      <c r="P29" s="3193"/>
      <c r="Q29" s="1806"/>
      <c r="R29" s="773"/>
      <c r="S29" s="774"/>
      <c r="T29" s="773"/>
      <c r="U29" s="774"/>
      <c r="V29" s="773"/>
      <c r="W29" s="774"/>
      <c r="X29" s="1809"/>
      <c r="Y29" s="3193"/>
      <c r="Z29" s="1810"/>
      <c r="AA29" s="1807">
        <v>1</v>
      </c>
      <c r="AB29" s="1807">
        <v>1</v>
      </c>
      <c r="AC29" s="1807">
        <v>1</v>
      </c>
    </row>
    <row r="30" spans="1:29" ht="15">
      <c r="A30" s="427"/>
      <c r="B30" s="653" t="s">
        <v>2741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193"/>
      <c r="Q30" s="1806" t="str">
        <f t="shared" si="8"/>
        <v>土地级别</v>
      </c>
      <c r="R30" s="773" t="s">
        <v>17</v>
      </c>
      <c r="S30" s="774">
        <f t="shared" si="10"/>
        <v>100</v>
      </c>
      <c r="T30" s="773" t="s">
        <v>17</v>
      </c>
      <c r="U30" s="774">
        <f t="shared" si="11"/>
        <v>100</v>
      </c>
      <c r="V30" s="773" t="s">
        <v>17</v>
      </c>
      <c r="W30" s="774">
        <f t="shared" si="12"/>
        <v>100</v>
      </c>
      <c r="X30" s="1809"/>
      <c r="Y30" s="3193"/>
      <c r="Z30" s="1810" t="str">
        <f t="shared" si="13"/>
        <v>土地级别</v>
      </c>
      <c r="AA30" s="1807">
        <f t="shared" si="3"/>
        <v>1</v>
      </c>
      <c r="AB30" s="1807">
        <f t="shared" si="4"/>
        <v>1</v>
      </c>
      <c r="AC30" s="1807">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93"/>
      <c r="Q31" s="1806">
        <f t="shared" si="8"/>
        <v>111</v>
      </c>
      <c r="R31" s="773" t="s">
        <v>17</v>
      </c>
      <c r="S31" s="774">
        <f t="shared" si="10"/>
        <v>100</v>
      </c>
      <c r="T31" s="773" t="s">
        <v>17</v>
      </c>
      <c r="U31" s="774">
        <f t="shared" si="11"/>
        <v>100</v>
      </c>
      <c r="V31" s="773" t="s">
        <v>17</v>
      </c>
      <c r="W31" s="774">
        <f t="shared" si="12"/>
        <v>100</v>
      </c>
      <c r="X31" s="1809"/>
      <c r="Y31" s="3193"/>
      <c r="Z31" s="1810">
        <f t="shared" si="13"/>
        <v>111</v>
      </c>
      <c r="AA31" s="1807">
        <f t="shared" si="3"/>
        <v>1</v>
      </c>
      <c r="AB31" s="1807">
        <f t="shared" si="4"/>
        <v>1</v>
      </c>
      <c r="AC31" s="1807">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194" t="s">
        <v>2557</v>
      </c>
      <c r="Q32" s="1806">
        <f t="shared" si="8"/>
        <v>111</v>
      </c>
      <c r="R32" s="773" t="s">
        <v>17</v>
      </c>
      <c r="S32" s="774">
        <f t="shared" si="10"/>
        <v>100</v>
      </c>
      <c r="T32" s="773" t="s">
        <v>17</v>
      </c>
      <c r="U32" s="774">
        <f t="shared" si="11"/>
        <v>100</v>
      </c>
      <c r="V32" s="773" t="s">
        <v>17</v>
      </c>
      <c r="W32" s="774">
        <f t="shared" si="12"/>
        <v>100</v>
      </c>
      <c r="X32" s="1809"/>
      <c r="Y32" s="3195" t="s">
        <v>2557</v>
      </c>
      <c r="Z32" s="1810">
        <f t="shared" si="13"/>
        <v>111</v>
      </c>
      <c r="AA32" s="1807">
        <f t="shared" si="3"/>
        <v>1</v>
      </c>
      <c r="AB32" s="1807">
        <f t="shared" si="4"/>
        <v>1</v>
      </c>
      <c r="AC32" s="1807">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195"/>
      <c r="Q33" s="1806">
        <f t="shared" si="8"/>
        <v>111</v>
      </c>
      <c r="R33" s="776" t="s">
        <v>17</v>
      </c>
      <c r="S33" s="777">
        <f t="shared" si="10"/>
        <v>100</v>
      </c>
      <c r="T33" s="776" t="s">
        <v>17</v>
      </c>
      <c r="U33" s="777">
        <f t="shared" si="11"/>
        <v>100</v>
      </c>
      <c r="V33" s="776" t="s">
        <v>17</v>
      </c>
      <c r="W33" s="777">
        <f t="shared" si="12"/>
        <v>100</v>
      </c>
      <c r="X33" s="778"/>
      <c r="Y33" s="3195"/>
      <c r="Z33" s="779">
        <f t="shared" si="13"/>
        <v>111</v>
      </c>
      <c r="AA33" s="1807">
        <f t="shared" si="3"/>
        <v>1</v>
      </c>
      <c r="AB33" s="1807">
        <f t="shared" si="4"/>
        <v>1</v>
      </c>
      <c r="AC33" s="1807">
        <f t="shared" si="5"/>
        <v>1</v>
      </c>
    </row>
    <row r="34" spans="1:29" ht="15">
      <c r="A34" s="439" t="s">
        <v>2555</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195"/>
      <c r="Q34" s="1806" t="str">
        <f>B34</f>
        <v>宗地面积</v>
      </c>
      <c r="R34" s="773" t="s">
        <v>17</v>
      </c>
      <c r="S34" s="774" t="e">
        <f t="shared" si="10"/>
        <v>#N/A</v>
      </c>
      <c r="T34" s="773" t="s">
        <v>17</v>
      </c>
      <c r="U34" s="774" t="e">
        <f t="shared" si="11"/>
        <v>#N/A</v>
      </c>
      <c r="V34" s="773" t="s">
        <v>17</v>
      </c>
      <c r="W34" s="774" t="e">
        <f t="shared" si="12"/>
        <v>#N/A</v>
      </c>
      <c r="X34" s="1809"/>
      <c r="Y34" s="3195"/>
      <c r="Z34" s="1810" t="str">
        <f t="shared" si="13"/>
        <v>宗地面积</v>
      </c>
      <c r="AA34" s="1807" t="e">
        <f t="shared" si="3"/>
        <v>#N/A</v>
      </c>
      <c r="AB34" s="1807" t="e">
        <f t="shared" si="4"/>
        <v>#N/A</v>
      </c>
      <c r="AC34" s="1807" t="e">
        <f t="shared" si="5"/>
        <v>#N/A</v>
      </c>
    </row>
    <row r="35" spans="1:29" ht="15">
      <c r="A35" s="471"/>
      <c r="B35" s="421" t="s">
        <v>2743</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8"/>
      <c r="M35" s="1129"/>
      <c r="N35" s="1129"/>
      <c r="O35" s="1137"/>
      <c r="P35" s="3195"/>
      <c r="Q35" s="1806" t="str">
        <f t="shared" ref="Q35:Q40" si="14">B35</f>
        <v>宗地形状</v>
      </c>
      <c r="R35" s="773" t="s">
        <v>17</v>
      </c>
      <c r="S35" s="774">
        <f t="shared" si="10"/>
        <v>100</v>
      </c>
      <c r="T35" s="773" t="s">
        <v>17</v>
      </c>
      <c r="U35" s="774">
        <f t="shared" si="11"/>
        <v>100</v>
      </c>
      <c r="V35" s="773" t="s">
        <v>17</v>
      </c>
      <c r="W35" s="774">
        <f t="shared" si="12"/>
        <v>100</v>
      </c>
      <c r="X35" s="1809"/>
      <c r="Y35" s="3195"/>
      <c r="Z35" s="1810" t="str">
        <f t="shared" si="13"/>
        <v>宗地形状</v>
      </c>
      <c r="AA35" s="1807">
        <f t="shared" si="3"/>
        <v>1</v>
      </c>
      <c r="AB35" s="1807">
        <f t="shared" si="4"/>
        <v>1</v>
      </c>
      <c r="AC35" s="1807">
        <f t="shared" si="5"/>
        <v>1</v>
      </c>
    </row>
    <row r="36" spans="1:29" s="116" customFormat="1" ht="15">
      <c r="A36" s="472"/>
      <c r="B36" s="421" t="s">
        <v>2745</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30"/>
      <c r="M36" s="1131"/>
      <c r="N36" s="1131"/>
      <c r="O36" s="1132"/>
      <c r="P36" s="3195"/>
      <c r="Q36" s="1806" t="str">
        <f t="shared" si="14"/>
        <v>宗地开发程度</v>
      </c>
      <c r="R36" s="769" t="s">
        <v>17</v>
      </c>
      <c r="S36" s="770">
        <f t="shared" si="10"/>
        <v>100</v>
      </c>
      <c r="T36" s="769" t="s">
        <v>17</v>
      </c>
      <c r="U36" s="770">
        <f t="shared" si="11"/>
        <v>100</v>
      </c>
      <c r="V36" s="769" t="s">
        <v>17</v>
      </c>
      <c r="W36" s="770">
        <f t="shared" si="12"/>
        <v>100</v>
      </c>
      <c r="X36" s="771"/>
      <c r="Y36" s="3195"/>
      <c r="Z36" s="55" t="str">
        <f t="shared" si="13"/>
        <v>宗地开发程度</v>
      </c>
      <c r="AA36" s="772">
        <f t="shared" si="3"/>
        <v>1</v>
      </c>
      <c r="AB36" s="772">
        <f t="shared" si="4"/>
        <v>1</v>
      </c>
      <c r="AC36" s="772">
        <f t="shared" si="5"/>
        <v>1</v>
      </c>
    </row>
    <row r="37" spans="1:29" ht="15">
      <c r="A37" s="471"/>
      <c r="B37" s="421" t="s">
        <v>2746</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8"/>
      <c r="M37" s="1129"/>
      <c r="N37" s="1129"/>
      <c r="O37" s="1137"/>
      <c r="P37" s="3195" t="s">
        <v>2557</v>
      </c>
      <c r="Q37" s="1806" t="str">
        <f t="shared" si="14"/>
        <v>工程地质条件</v>
      </c>
      <c r="R37" s="773" t="s">
        <v>17</v>
      </c>
      <c r="S37" s="774">
        <f t="shared" si="10"/>
        <v>100</v>
      </c>
      <c r="T37" s="773" t="s">
        <v>17</v>
      </c>
      <c r="U37" s="774">
        <f t="shared" si="11"/>
        <v>100</v>
      </c>
      <c r="V37" s="773" t="s">
        <v>17</v>
      </c>
      <c r="W37" s="774">
        <f t="shared" si="12"/>
        <v>100</v>
      </c>
      <c r="X37" s="1809"/>
      <c r="Y37" s="3195" t="s">
        <v>2557</v>
      </c>
      <c r="Z37" s="1810" t="str">
        <f t="shared" si="13"/>
        <v>工程地质条件</v>
      </c>
      <c r="AA37" s="1807">
        <f t="shared" si="3"/>
        <v>1</v>
      </c>
      <c r="AB37" s="1807">
        <f t="shared" si="4"/>
        <v>1</v>
      </c>
      <c r="AC37" s="1807">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195"/>
      <c r="Q38" s="1806">
        <f t="shared" si="14"/>
        <v>111</v>
      </c>
      <c r="R38" s="773" t="s">
        <v>17</v>
      </c>
      <c r="S38" s="774">
        <f t="shared" si="10"/>
        <v>100</v>
      </c>
      <c r="T38" s="773" t="s">
        <v>17</v>
      </c>
      <c r="U38" s="774">
        <f t="shared" si="11"/>
        <v>100</v>
      </c>
      <c r="V38" s="773" t="s">
        <v>17</v>
      </c>
      <c r="W38" s="774">
        <f t="shared" si="12"/>
        <v>100</v>
      </c>
      <c r="X38" s="1809"/>
      <c r="Y38" s="3195"/>
      <c r="Z38" s="1810">
        <f t="shared" si="13"/>
        <v>111</v>
      </c>
      <c r="AA38" s="1807">
        <f t="shared" si="3"/>
        <v>1</v>
      </c>
      <c r="AB38" s="1807">
        <f t="shared" si="4"/>
        <v>1</v>
      </c>
      <c r="AC38" s="1807">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195"/>
      <c r="Q39" s="1806">
        <f t="shared" si="14"/>
        <v>111</v>
      </c>
      <c r="R39" s="773" t="s">
        <v>17</v>
      </c>
      <c r="S39" s="774">
        <f t="shared" si="10"/>
        <v>100</v>
      </c>
      <c r="T39" s="773" t="s">
        <v>17</v>
      </c>
      <c r="U39" s="774">
        <f t="shared" si="11"/>
        <v>100</v>
      </c>
      <c r="V39" s="773" t="s">
        <v>17</v>
      </c>
      <c r="W39" s="774">
        <f t="shared" si="12"/>
        <v>100</v>
      </c>
      <c r="X39" s="1809"/>
      <c r="Y39" s="3195"/>
      <c r="Z39" s="1810">
        <f t="shared" si="13"/>
        <v>111</v>
      </c>
      <c r="AA39" s="1807">
        <f t="shared" si="3"/>
        <v>1</v>
      </c>
      <c r="AB39" s="1807">
        <f t="shared" si="4"/>
        <v>1</v>
      </c>
      <c r="AC39" s="1807">
        <f t="shared" si="5"/>
        <v>1</v>
      </c>
    </row>
    <row r="40" spans="1:29" s="470" customFormat="1" ht="15.75" thickBot="1">
      <c r="A40" s="467"/>
      <c r="B40" s="1385">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195"/>
      <c r="Q40" s="1806">
        <f t="shared" si="14"/>
        <v>111</v>
      </c>
      <c r="R40" s="776" t="s">
        <v>17</v>
      </c>
      <c r="S40" s="777">
        <f t="shared" si="10"/>
        <v>100</v>
      </c>
      <c r="T40" s="776" t="s">
        <v>17</v>
      </c>
      <c r="U40" s="777">
        <f t="shared" si="11"/>
        <v>100</v>
      </c>
      <c r="V40" s="776" t="s">
        <v>17</v>
      </c>
      <c r="W40" s="777">
        <f t="shared" si="12"/>
        <v>100</v>
      </c>
      <c r="X40" s="778"/>
      <c r="Y40" s="3195"/>
      <c r="Z40" s="779">
        <f t="shared" si="13"/>
        <v>111</v>
      </c>
      <c r="AA40" s="1807">
        <f t="shared" si="3"/>
        <v>1</v>
      </c>
      <c r="AB40" s="1807">
        <f t="shared" si="4"/>
        <v>1</v>
      </c>
      <c r="AC40" s="1807">
        <f t="shared" si="5"/>
        <v>1</v>
      </c>
    </row>
    <row r="41" spans="1:29" ht="15">
      <c r="A41" s="478" t="s">
        <v>2712</v>
      </c>
      <c r="B41" s="2694" t="s">
        <v>2790</v>
      </c>
      <c r="C41" s="681" t="s">
        <v>1</v>
      </c>
      <c r="D41" s="480"/>
      <c r="E41" s="481"/>
      <c r="F41" s="482"/>
      <c r="G41" s="483"/>
      <c r="H41" s="484"/>
      <c r="I41" s="481"/>
      <c r="J41" s="484"/>
      <c r="K41" s="782"/>
      <c r="L41" s="1141"/>
      <c r="M41" s="1129"/>
      <c r="N41" s="1129"/>
      <c r="O41" s="1142"/>
      <c r="P41" s="3190" t="str">
        <f>A41</f>
        <v>成交单价</v>
      </c>
      <c r="Q41" s="3190"/>
      <c r="R41" s="3196">
        <f>E41</f>
        <v>0</v>
      </c>
      <c r="S41" s="3196"/>
      <c r="T41" s="3196">
        <f>G41</f>
        <v>0</v>
      </c>
      <c r="U41" s="3196"/>
      <c r="V41" s="3196">
        <f>I41</f>
        <v>0</v>
      </c>
      <c r="W41" s="3196"/>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1"/>
      <c r="M42" s="1129"/>
      <c r="N42" s="1129"/>
      <c r="O42" s="1142"/>
      <c r="P42" s="3190" t="str">
        <f>A42</f>
        <v>比较价值（元/平方米）</v>
      </c>
      <c r="Q42" s="3190"/>
      <c r="R42" s="3183" t="e">
        <f>ROUND(PRODUCT(R41,AA7:AA40),0)</f>
        <v>#DIV/0!</v>
      </c>
      <c r="S42" s="3183"/>
      <c r="T42" s="3183" t="e">
        <f>ROUND(PRODUCT(T41,AB7:AB40),0)</f>
        <v>#DIV/0!</v>
      </c>
      <c r="U42" s="3183"/>
      <c r="V42" s="3183" t="e">
        <f>ROUND(PRODUCT(V41,AC7:AC40),0)</f>
        <v>#DIV/0!</v>
      </c>
      <c r="W42" s="3183"/>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1"/>
      <c r="M43" s="1129"/>
      <c r="N43" s="1129"/>
      <c r="O43" s="1142"/>
      <c r="P43" s="3184" t="str">
        <f>A43</f>
        <v>估价对象XX用房的比较价值（楼面单价，元/平方米）</v>
      </c>
      <c r="Q43" s="3185"/>
      <c r="R43" s="3186" t="e">
        <f>ROUND(AVERAGE(R42:V42),0)</f>
        <v>#DIV/0!</v>
      </c>
      <c r="S43" s="3186"/>
      <c r="T43" s="3186"/>
      <c r="U43" s="3186"/>
      <c r="V43" s="3186"/>
      <c r="W43" s="3186"/>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2748</v>
      </c>
      <c r="B50" s="684" t="s">
        <v>2749</v>
      </c>
      <c r="C50" s="2695" t="s">
        <v>2750</v>
      </c>
      <c r="D50" s="2696" t="s">
        <v>2751</v>
      </c>
      <c r="E50" s="685" t="s">
        <v>2752</v>
      </c>
      <c r="F50" s="686" t="s">
        <v>2753</v>
      </c>
      <c r="G50" s="3187" t="s">
        <v>2754</v>
      </c>
      <c r="H50" s="3188"/>
      <c r="I50" s="1810" t="s">
        <v>2791</v>
      </c>
      <c r="J50" s="1810" t="str">
        <f>项目基本情况!F35</f>
        <v>海南省</v>
      </c>
      <c r="K50" s="2698" t="s">
        <v>2756</v>
      </c>
      <c r="L50" s="1104"/>
      <c r="M50" s="1142"/>
      <c r="N50" s="1142"/>
      <c r="O50" s="1142"/>
    </row>
    <row r="51" spans="1:17" s="691" customFormat="1">
      <c r="A51" s="687" t="s">
        <v>2757</v>
      </c>
      <c r="B51" s="688" t="e">
        <f>C43</f>
        <v>#DIV/0!</v>
      </c>
      <c r="C51" s="689">
        <v>1</v>
      </c>
      <c r="D51" s="1161">
        <v>1</v>
      </c>
      <c r="E51" s="689">
        <f>'数据-汇总表'!E8+'数据-汇总表'!E9</f>
        <v>105925.04000000001</v>
      </c>
      <c r="F51" s="690" t="e">
        <f t="shared" ref="F51:F60" si="15">ROUND(B51*E51/10000,0)</f>
        <v>#DIV/0!</v>
      </c>
      <c r="G51" s="3189"/>
      <c r="H51" s="3190"/>
      <c r="I51" s="940">
        <v>1</v>
      </c>
      <c r="J51" s="940">
        <v>1</v>
      </c>
      <c r="K51" s="1143"/>
      <c r="L51" s="939"/>
      <c r="M51" s="939"/>
      <c r="N51" s="939"/>
      <c r="O51" s="939"/>
    </row>
    <row r="52" spans="1:17" s="691" customFormat="1">
      <c r="A52" s="692" t="s">
        <v>2758</v>
      </c>
      <c r="B52" s="261" t="e">
        <f>ROUND($C$43*C52*D52,0)</f>
        <v>#DIV/0!</v>
      </c>
      <c r="C52" s="199">
        <f t="shared" ref="C52:C60" si="16">IF($C$50="北京市系数",I52,J52)</f>
        <v>0</v>
      </c>
      <c r="D52" s="1162">
        <v>0.25</v>
      </c>
      <c r="E52" s="693"/>
      <c r="F52" s="690" t="e">
        <f t="shared" si="15"/>
        <v>#DIV/0!</v>
      </c>
      <c r="G52" s="3191" t="s">
        <v>2759</v>
      </c>
      <c r="H52" s="1102">
        <f>项目基本情况!B37</f>
        <v>0</v>
      </c>
      <c r="I52" s="940">
        <f>SUMIF(修正!A45:A56,H52,修正!B45:B56)</f>
        <v>0</v>
      </c>
      <c r="J52" s="941"/>
      <c r="K52" s="1142"/>
      <c r="L52" s="939"/>
      <c r="M52" s="939"/>
      <c r="N52" s="939"/>
      <c r="O52" s="939"/>
    </row>
    <row r="53" spans="1:17" s="691" customFormat="1">
      <c r="A53" s="692" t="s">
        <v>2760</v>
      </c>
      <c r="B53" s="261" t="e">
        <f t="shared" ref="B53:B60" si="17">ROUND($C$43*C53*D53,0)</f>
        <v>#DIV/0!</v>
      </c>
      <c r="C53" s="199">
        <f t="shared" si="16"/>
        <v>0</v>
      </c>
      <c r="D53" s="1162">
        <v>0.25</v>
      </c>
      <c r="E53" s="693"/>
      <c r="F53" s="690" t="e">
        <f t="shared" si="15"/>
        <v>#DIV/0!</v>
      </c>
      <c r="G53" s="3191"/>
      <c r="H53" s="1102">
        <f>项目基本情况!B37</f>
        <v>0</v>
      </c>
      <c r="I53" s="940">
        <f>SUMIF(修正!A45:A56,H53,修正!C45:C56)</f>
        <v>0</v>
      </c>
      <c r="J53" s="941"/>
      <c r="K53" s="1143"/>
      <c r="L53" s="939"/>
      <c r="M53" s="939"/>
      <c r="N53" s="939"/>
      <c r="O53" s="939"/>
    </row>
    <row r="54" spans="1:17" s="691" customFormat="1">
      <c r="A54" s="692" t="s">
        <v>2761</v>
      </c>
      <c r="B54" s="261" t="e">
        <f t="shared" si="17"/>
        <v>#DIV/0!</v>
      </c>
      <c r="C54" s="199">
        <f t="shared" si="16"/>
        <v>0</v>
      </c>
      <c r="D54" s="1162">
        <v>0.25</v>
      </c>
      <c r="E54" s="693"/>
      <c r="F54" s="690" t="e">
        <f t="shared" si="15"/>
        <v>#DIV/0!</v>
      </c>
      <c r="G54" s="3191"/>
      <c r="H54" s="1102">
        <f>项目基本情况!B37</f>
        <v>0</v>
      </c>
      <c r="I54" s="940">
        <f>SUMIF(修正!A45:A56,H54,修正!D45:D56)</f>
        <v>0</v>
      </c>
      <c r="J54" s="941"/>
      <c r="K54" s="1142"/>
      <c r="L54" s="939"/>
      <c r="M54" s="939"/>
      <c r="N54" s="939"/>
      <c r="O54" s="939"/>
    </row>
    <row r="55" spans="1:17" s="691" customFormat="1">
      <c r="A55" s="692" t="s">
        <v>2762</v>
      </c>
      <c r="B55" s="261" t="e">
        <f t="shared" si="17"/>
        <v>#DIV/0!</v>
      </c>
      <c r="C55" s="199">
        <f t="shared" si="16"/>
        <v>0</v>
      </c>
      <c r="D55" s="1162">
        <v>0.25</v>
      </c>
      <c r="E55" s="693"/>
      <c r="F55" s="690" t="e">
        <f t="shared" si="15"/>
        <v>#DIV/0!</v>
      </c>
      <c r="G55" s="3191"/>
      <c r="H55" s="1102">
        <f>项目基本情况!B37</f>
        <v>0</v>
      </c>
      <c r="I55" s="940">
        <f>SUMIF(修正!A45:A56,H55,修正!E45:E56)</f>
        <v>0</v>
      </c>
      <c r="J55" s="941"/>
      <c r="K55" s="1143"/>
      <c r="L55" s="939"/>
      <c r="M55" s="939"/>
      <c r="N55" s="939"/>
      <c r="O55" s="939"/>
    </row>
    <row r="56" spans="1:17" s="691" customFormat="1">
      <c r="A56" s="692" t="s">
        <v>2763</v>
      </c>
      <c r="B56" s="261" t="e">
        <f t="shared" si="17"/>
        <v>#DIV/0!</v>
      </c>
      <c r="C56" s="199">
        <f t="shared" si="16"/>
        <v>0</v>
      </c>
      <c r="D56" s="1162">
        <v>0.25</v>
      </c>
      <c r="E56" s="260">
        <f>'数据-汇总表'!E11</f>
        <v>0</v>
      </c>
      <c r="F56" s="690" t="e">
        <f t="shared" si="15"/>
        <v>#DIV/0!</v>
      </c>
      <c r="G56" s="2699" t="s">
        <v>2764</v>
      </c>
      <c r="H56" s="1102">
        <f>项目基本情况!C37</f>
        <v>0</v>
      </c>
      <c r="I56" s="940">
        <f>SUMIF(修正!A45:A56,H56,修正!F45:F56)</f>
        <v>0</v>
      </c>
      <c r="J56" s="941"/>
      <c r="K56" s="1142"/>
      <c r="L56" s="939"/>
      <c r="M56" s="939"/>
      <c r="N56" s="939"/>
      <c r="O56" s="939"/>
    </row>
    <row r="57" spans="1:17" s="691" customFormat="1">
      <c r="A57" s="692" t="s">
        <v>2765</v>
      </c>
      <c r="B57" s="261" t="e">
        <f t="shared" si="17"/>
        <v>#DIV/0!</v>
      </c>
      <c r="C57" s="199">
        <f t="shared" si="16"/>
        <v>0</v>
      </c>
      <c r="D57" s="1162">
        <v>0.25</v>
      </c>
      <c r="E57" s="260">
        <f>'数据-汇总表'!E12</f>
        <v>0</v>
      </c>
      <c r="F57" s="690" t="e">
        <f t="shared" si="15"/>
        <v>#DIV/0!</v>
      </c>
      <c r="G57" s="1107" t="s">
        <v>2766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2767</v>
      </c>
      <c r="B58" s="261" t="e">
        <f t="shared" si="17"/>
        <v>#DIV/0!</v>
      </c>
      <c r="C58" s="199">
        <f t="shared" si="16"/>
        <v>0</v>
      </c>
      <c r="D58" s="1162">
        <v>0.25</v>
      </c>
      <c r="E58" s="260">
        <f>'数据-汇总表'!E13</f>
        <v>25234.94</v>
      </c>
      <c r="F58" s="690"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2769</v>
      </c>
      <c r="B59" s="261" t="e">
        <f t="shared" si="17"/>
        <v>#DIV/0!</v>
      </c>
      <c r="C59" s="199">
        <f t="shared" si="16"/>
        <v>0</v>
      </c>
      <c r="D59" s="1162">
        <v>0.25</v>
      </c>
      <c r="E59" s="260">
        <f>'数据-汇总表'!E14</f>
        <v>0</v>
      </c>
      <c r="F59" s="690" t="e">
        <f t="shared" si="15"/>
        <v>#DIV/0!</v>
      </c>
      <c r="G59" s="2699" t="s">
        <v>2759</v>
      </c>
      <c r="H59" s="1102">
        <f>项目基本情况!B37</f>
        <v>0</v>
      </c>
      <c r="I59" s="940">
        <f>SUMIF(修正!A45:A56,H59,修正!H45:H56)</f>
        <v>0</v>
      </c>
      <c r="J59" s="941"/>
      <c r="K59" s="1143"/>
      <c r="L59" s="939"/>
      <c r="M59" s="939"/>
      <c r="N59" s="939"/>
      <c r="O59" s="939"/>
    </row>
    <row r="60" spans="1:17" s="691" customFormat="1" ht="15" thickBot="1">
      <c r="A60" s="692" t="s">
        <v>2770</v>
      </c>
      <c r="B60" s="261" t="e">
        <f t="shared" si="17"/>
        <v>#DIV/0!</v>
      </c>
      <c r="C60" s="199">
        <f t="shared" si="16"/>
        <v>0</v>
      </c>
      <c r="D60" s="1162">
        <v>0.25</v>
      </c>
      <c r="E60" s="260">
        <f>'数据-汇总表'!E15</f>
        <v>0</v>
      </c>
      <c r="F60" s="690" t="e">
        <f t="shared" si="15"/>
        <v>#DIV/0!</v>
      </c>
      <c r="G60" s="2700" t="s">
        <v>2764</v>
      </c>
      <c r="H60" s="1112">
        <f>项目基本情况!C37</f>
        <v>0</v>
      </c>
      <c r="I60" s="940">
        <f>SUMIF(修正!A45:A56,H60,修正!H45:H56)</f>
        <v>0</v>
      </c>
      <c r="J60" s="941"/>
      <c r="K60" s="1142"/>
      <c r="L60" s="939"/>
      <c r="M60" s="939"/>
      <c r="N60" s="939"/>
      <c r="O60" s="939"/>
    </row>
    <row r="61" spans="1:17" s="691" customFormat="1" ht="15" thickBot="1">
      <c r="A61" s="694" t="s">
        <v>2771</v>
      </c>
      <c r="B61" s="695" t="s">
        <v>28</v>
      </c>
      <c r="C61" s="695" t="s">
        <v>29</v>
      </c>
      <c r="D61" s="695" t="s">
        <v>1029</v>
      </c>
      <c r="E61" s="695">
        <f>IF(B41="楼面地价",SUM(E51:E60),'数据-汇总表'!D3)</f>
        <v>30136.12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2666</v>
      </c>
      <c r="B64" s="758"/>
      <c r="C64" s="763"/>
      <c r="D64" s="763"/>
      <c r="E64" s="763"/>
      <c r="F64" s="764"/>
      <c r="G64" s="764"/>
      <c r="H64" s="763"/>
      <c r="I64" s="763"/>
      <c r="J64" s="763"/>
      <c r="K64" s="765"/>
      <c r="L64" s="766"/>
      <c r="M64" s="763"/>
      <c r="N64" s="763"/>
      <c r="O64" s="1157"/>
      <c r="P64" s="502"/>
      <c r="Q64" s="503"/>
    </row>
    <row r="65" spans="1:17" s="507" customFormat="1" ht="15">
      <c r="A65" s="2701" t="s">
        <v>2772</v>
      </c>
      <c r="B65" s="1357"/>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6"/>
    </row>
    <row r="66" spans="1:17" s="116" customFormat="1" ht="30.75" customHeight="1">
      <c r="A66" s="2706" t="s">
        <v>2792</v>
      </c>
      <c r="B66" s="331" t="str">
        <f>"北京市平均增长率"&amp;TEXT(基准地价修正!P24,"0.00%")</f>
        <v>北京市平均增长率1.42%</v>
      </c>
      <c r="C66" s="602">
        <v>100</v>
      </c>
      <c r="D66" s="594"/>
      <c r="E66" s="594"/>
      <c r="F66" s="594"/>
      <c r="G66" s="594"/>
      <c r="H66" s="594"/>
      <c r="I66" s="594"/>
      <c r="J66" s="594"/>
      <c r="K66" s="594"/>
      <c r="L66" s="594"/>
      <c r="M66" s="1564"/>
      <c r="N66" s="1564"/>
      <c r="O66" s="1565"/>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2549</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2775</v>
      </c>
      <c r="C87" s="572" t="s">
        <v>2589</v>
      </c>
      <c r="D87" s="572" t="s">
        <v>2590</v>
      </c>
      <c r="E87" s="572" t="s">
        <v>2591</v>
      </c>
      <c r="F87" s="572" t="s">
        <v>2592</v>
      </c>
      <c r="G87" s="572" t="s">
        <v>2593</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2776</v>
      </c>
      <c r="C89" s="572" t="s">
        <v>2589</v>
      </c>
      <c r="D89" s="572" t="s">
        <v>2590</v>
      </c>
      <c r="E89" s="572" t="s">
        <v>2591</v>
      </c>
      <c r="F89" s="572" t="s">
        <v>2592</v>
      </c>
      <c r="G89" s="572" t="s">
        <v>2593</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2793</v>
      </c>
      <c r="C93" s="659" t="s">
        <v>2667</v>
      </c>
      <c r="D93" s="659" t="s">
        <v>2668</v>
      </c>
      <c r="E93" s="659" t="s">
        <v>2669</v>
      </c>
      <c r="F93" s="659" t="s">
        <v>2670</v>
      </c>
      <c r="G93" s="659"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2777</v>
      </c>
      <c r="D95" s="538" t="s">
        <v>2778</v>
      </c>
      <c r="E95" s="538" t="s">
        <v>2779</v>
      </c>
      <c r="F95" s="538" t="s">
        <v>2780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2683</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2555</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zoomScalePageLayoutView="80" workbookViewId="0">
      <selection activeCell="R43" sqref="R43:W43"/>
    </sheetView>
  </sheetViews>
  <sheetFormatPr defaultColWidth="12" defaultRowHeight="12.75"/>
  <cols>
    <col min="1" max="1" width="9.625" style="2786" customWidth="1"/>
    <col min="2" max="2" width="19.125" style="2892" customWidth="1"/>
    <col min="3" max="4" width="12" style="2710"/>
    <col min="5" max="5" width="14.625" style="2710" customWidth="1"/>
    <col min="6" max="8" width="12" style="2710"/>
    <col min="9" max="9" width="12.125" style="2710" bestFit="1" customWidth="1"/>
    <col min="10" max="10" width="12" style="2710"/>
    <col min="11" max="11" width="8.125" style="2778" customWidth="1"/>
    <col min="12" max="12" width="12" style="2710"/>
    <col min="13" max="13" width="8.5" style="2710" customWidth="1"/>
    <col min="14" max="14" width="9.625" style="2710" customWidth="1"/>
    <col min="15" max="25" width="12" style="2710"/>
    <col min="26" max="26" width="9.375" style="2786" customWidth="1"/>
    <col min="27" max="32" width="9.375" style="1370" customWidth="1"/>
    <col min="33" max="36" width="9.375" style="2786" customWidth="1"/>
    <col min="37" max="38" width="9.375" style="2710" customWidth="1"/>
    <col min="39" max="16384" width="12" style="2710"/>
  </cols>
  <sheetData>
    <row r="1" spans="1:36" ht="28.5">
      <c r="A1" s="239" t="s">
        <v>2794</v>
      </c>
      <c r="B1" s="240"/>
      <c r="C1" s="244" t="s">
        <v>2795</v>
      </c>
      <c r="D1" s="387">
        <f>SUM(D29:D30,D33:D39)</f>
        <v>0</v>
      </c>
      <c r="E1" s="2707"/>
      <c r="F1" s="2707"/>
      <c r="G1" s="2707"/>
      <c r="H1" s="2707"/>
      <c r="I1" s="2707"/>
      <c r="J1" s="2707"/>
      <c r="K1" s="1368"/>
      <c r="L1" s="2708" t="s">
        <v>2796</v>
      </c>
      <c r="M1" s="1078">
        <f>SUMPRODUCT((区片价!B5:B9=I2)*(区片价!C3:F3=E2)*(区片价!C5:F9))</f>
        <v>0</v>
      </c>
      <c r="N1" s="1081">
        <f>SUMPRODUCT((因素修正幅度!B5:B9=I2)*(因素修正幅度!C3:F3=E2)*(因素修正幅度!C5:F9))</f>
        <v>0</v>
      </c>
      <c r="O1" s="2709"/>
      <c r="P1" s="2709"/>
      <c r="Q1" s="1368"/>
      <c r="R1" s="1598" t="s">
        <v>2797</v>
      </c>
      <c r="S1" s="1598" t="s">
        <v>2798</v>
      </c>
      <c r="T1" s="1598" t="s">
        <v>2799</v>
      </c>
      <c r="U1" s="1598" t="s">
        <v>2800</v>
      </c>
      <c r="V1" s="1598" t="s">
        <v>2801</v>
      </c>
      <c r="W1" s="1602"/>
      <c r="X1" s="1602"/>
      <c r="Y1" s="1602"/>
      <c r="Z1" s="1602"/>
      <c r="AA1" s="1602"/>
      <c r="AB1" s="1602"/>
      <c r="AC1" s="1603"/>
      <c r="AD1" s="1604"/>
      <c r="AE1" s="1604"/>
      <c r="AF1" s="1604"/>
      <c r="AG1" s="1604"/>
      <c r="AH1" s="1604"/>
      <c r="AI1" s="1604"/>
      <c r="AJ1" s="1605"/>
    </row>
    <row r="2" spans="1:36" ht="15.75">
      <c r="A2" s="244" t="s">
        <v>2802</v>
      </c>
      <c r="B2" s="247" t="e">
        <f>C26</f>
        <v>#DIV/0!</v>
      </c>
      <c r="C2" s="2711" t="s">
        <v>2803</v>
      </c>
      <c r="D2" s="2712" t="s">
        <v>2804</v>
      </c>
      <c r="E2" s="2713"/>
      <c r="F2" s="2712" t="s">
        <v>2805</v>
      </c>
      <c r="G2" s="2714">
        <f>IF(E2="商业",项目基本情况!B37,IF(E2="办公",项目基本情况!C37,IF(E2="住宅",项目基本情况!D37,项目基本情况!E37)))</f>
        <v>0</v>
      </c>
      <c r="H2" s="2712" t="s">
        <v>2806</v>
      </c>
      <c r="I2" s="2714">
        <f>IF(E2="商业",项目基本情况!B38,IF(E2="办公",项目基本情况!C38,IF(E2="住宅",项目基本情况!D38,项目基本情况!E38)))</f>
        <v>0</v>
      </c>
      <c r="J2" s="2715"/>
      <c r="K2" s="1368"/>
      <c r="L2" s="2716" t="s">
        <v>2807</v>
      </c>
      <c r="M2" s="1079">
        <f>SUMPRODUCT((区片价!B10:B28=I2)*(区片价!C3:F3=E2)*(区片价!C10:F28))</f>
        <v>0</v>
      </c>
      <c r="N2" s="1081">
        <f>SUMPRODUCT((因素修正幅度!B10:B28=I2)*(因素修正幅度!C3:F3=E2)*(因素修正幅度!C10:F28))</f>
        <v>0</v>
      </c>
      <c r="O2" s="1368"/>
      <c r="P2" s="1368"/>
      <c r="Q2" s="1368"/>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2808</v>
      </c>
      <c r="B3" s="247" t="e">
        <f>ROUND(B2*10000/D1,0)</f>
        <v>#DIV/0!</v>
      </c>
      <c r="C3" s="2711" t="s">
        <v>2809</v>
      </c>
      <c r="D3" s="2712" t="s">
        <v>2810</v>
      </c>
      <c r="E3" s="2717"/>
      <c r="F3" s="2718" t="s">
        <v>2811</v>
      </c>
      <c r="G3" s="911">
        <f>IF(F3="宗地容积率",'数据-汇总表'!I4,IF(F3="估价对象容积率",'数据-汇总表'!I6,'数据-汇总表'!I7))</f>
        <v>3.58</v>
      </c>
      <c r="H3" s="197" t="s">
        <v>2812</v>
      </c>
      <c r="I3" s="942"/>
      <c r="J3" s="2715" t="s">
        <v>2813</v>
      </c>
      <c r="K3" s="1368"/>
      <c r="L3" s="2716" t="s">
        <v>2814</v>
      </c>
      <c r="M3" s="1079">
        <f>SUMPRODUCT((区片价!B29:B48=I2)*(区片价!C3:F3=E2)*(区片价!C29:F48))</f>
        <v>0</v>
      </c>
      <c r="N3" s="1081">
        <f>SUMPRODUCT((因素修正幅度!B29:B48=I2)*(因素修正幅度!C3:F3=E2)*(因素修正幅度!C29:F48))</f>
        <v>0</v>
      </c>
      <c r="O3" s="1368"/>
      <c r="P3" s="1368"/>
      <c r="Q3" s="1368"/>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86"/>
      <c r="B4" s="3287"/>
      <c r="C4" s="3287"/>
      <c r="D4" s="3288"/>
      <c r="E4" s="3288"/>
      <c r="F4" s="3288"/>
      <c r="G4" s="3288"/>
      <c r="H4" s="3288"/>
      <c r="I4" s="3288"/>
      <c r="J4" s="3289"/>
      <c r="K4" s="1368"/>
      <c r="L4" s="2716" t="s">
        <v>2815</v>
      </c>
      <c r="M4" s="1079">
        <f>SUMPRODUCT((区片价!B49:B75=I2)*(区片价!C3:F3=E2)*(区片价!C49:F75))</f>
        <v>0</v>
      </c>
      <c r="N4" s="1081">
        <f>SUMPRODUCT((因素修正幅度!B49:B75=I2)*(因素修正幅度!C3:F3=E2)*(因素修正幅度!C49:F75))</f>
        <v>0</v>
      </c>
      <c r="O4" s="1368"/>
      <c r="P4" s="1368"/>
      <c r="Q4" s="1368"/>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8" customFormat="1" ht="15.75" thickBot="1">
      <c r="A5" s="2719" t="s">
        <v>807</v>
      </c>
      <c r="B5" s="2720" t="s">
        <v>2816</v>
      </c>
      <c r="C5" s="912" t="e">
        <f>ROUND(IF(E2="商业",IF(F16="增加",C6*C7+C16,C6*C7-C16),IF(E2="住宅",IF(F16="增加",C6*C12+C16,C6*C12-C16),IF(F16="增加",C6+C16,C6-C16))),0)</f>
        <v>#DIV/0!</v>
      </c>
      <c r="D5" s="1783">
        <f>ROUND(IF(E2="商业",IF(F16="增加",C6+C16,C6-C16)),0)</f>
        <v>0</v>
      </c>
      <c r="E5" s="2721"/>
      <c r="F5" s="2721"/>
      <c r="G5" s="2722"/>
      <c r="H5" s="2722"/>
      <c r="I5" s="2722"/>
      <c r="J5" s="2723"/>
      <c r="K5" s="2724"/>
      <c r="L5" s="2716" t="s">
        <v>2817</v>
      </c>
      <c r="M5" s="1079">
        <f>SUMPRODUCT((区片价!B76:B109=I2)*(区片价!C3:F3=E2)*(区片价!C76:F109))</f>
        <v>0</v>
      </c>
      <c r="N5" s="1081">
        <f>SUMPRODUCT((因素修正幅度!B76:B109=I2)*(因素修正幅度!C3:F3=E2)*(因素修正幅度!C76:F109))</f>
        <v>0</v>
      </c>
      <c r="O5" s="1368"/>
      <c r="P5" s="1368"/>
      <c r="Q5" s="1368"/>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5"/>
      <c r="AD5" s="2726"/>
      <c r="AE5" s="2726"/>
      <c r="AF5" s="2726"/>
      <c r="AG5" s="2726"/>
      <c r="AH5" s="2726"/>
      <c r="AI5" s="2726"/>
      <c r="AJ5" s="2727"/>
    </row>
    <row r="6" spans="1:36" ht="15.75" thickBot="1">
      <c r="A6" s="2729" t="s">
        <v>2818</v>
      </c>
      <c r="B6" s="2730" t="s">
        <v>2819</v>
      </c>
      <c r="C6" s="913">
        <f>SUMIF(L1:L12,G2,M1:M12)</f>
        <v>0</v>
      </c>
      <c r="D6" s="2731" t="s">
        <v>2820</v>
      </c>
      <c r="E6" s="2732"/>
      <c r="F6" s="2732"/>
      <c r="G6" s="2733"/>
      <c r="H6" s="2733"/>
      <c r="I6" s="2733"/>
      <c r="J6" s="2734"/>
      <c r="K6" s="1838"/>
      <c r="L6" s="2716" t="s">
        <v>2821</v>
      </c>
      <c r="M6" s="1079">
        <f>SUMPRODUCT((区片价!B110:B157=I2)*(区片价!C3:F3=E2)*(区片价!C110:F157))</f>
        <v>0</v>
      </c>
      <c r="N6" s="1081">
        <f>SUMPRODUCT((因素修正幅度!B110:B157=I2)*(因素修正幅度!C3:F3=E2)*(因素修正幅度!C110:F157))</f>
        <v>0</v>
      </c>
      <c r="O6" s="1368"/>
      <c r="P6" s="1368"/>
      <c r="Q6" s="1368"/>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5"/>
      <c r="AD6" s="2726"/>
      <c r="AE6" s="2726"/>
      <c r="AF6" s="2726"/>
      <c r="AG6" s="2726"/>
      <c r="AH6" s="2726"/>
      <c r="AI6" s="2726"/>
      <c r="AJ6" s="2727"/>
    </row>
    <row r="7" spans="1:36" ht="24">
      <c r="A7" s="3290" t="str">
        <f>IF(E2="商业",IF(C8="不临58条商业街","",2),"")</f>
        <v/>
      </c>
      <c r="B7" s="2735" t="s">
        <v>2822</v>
      </c>
      <c r="C7" s="914" t="e">
        <f>IF(C8="不临58条商业街",1,ROUND(1+(1.6*E8+1.2*E9+0.8*E10+0.4*E11)*C9,4))</f>
        <v>#DIV/0!</v>
      </c>
      <c r="D7" s="2736" t="s">
        <v>2823</v>
      </c>
      <c r="E7" s="943"/>
      <c r="F7" s="2737"/>
      <c r="G7" s="2738"/>
      <c r="H7" s="2738"/>
      <c r="I7" s="2738"/>
      <c r="J7" s="2739"/>
      <c r="K7" s="1838"/>
      <c r="L7" s="2716" t="s">
        <v>2824</v>
      </c>
      <c r="M7" s="1079">
        <f>SUMPRODUCT((区片价!B158:B205=I2)*(区片价!C3:F3=E2)*(区片价!C158:F205))</f>
        <v>0</v>
      </c>
      <c r="N7" s="1081">
        <f>SUMPRODUCT((因素修正幅度!B158:B205=I2)*(因素修正幅度!C3:F3=E2)*(因素修正幅度!C158:F205))</f>
        <v>0</v>
      </c>
      <c r="O7" s="1368"/>
      <c r="P7" s="1368"/>
      <c r="Q7" s="1368"/>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2825</v>
      </c>
      <c r="X7" s="1600">
        <f>G2</f>
        <v>0</v>
      </c>
      <c r="Y7" s="1600" t="s">
        <v>2826</v>
      </c>
      <c r="Z7" s="1601">
        <f>G3</f>
        <v>3.58</v>
      </c>
      <c r="AA7" s="1602"/>
      <c r="AB7" s="1602"/>
      <c r="AC7" s="1603"/>
      <c r="AD7" s="1604"/>
      <c r="AE7" s="1604"/>
      <c r="AF7" s="1604"/>
      <c r="AG7" s="1604"/>
      <c r="AH7" s="1604"/>
      <c r="AI7" s="1604"/>
      <c r="AJ7" s="1605"/>
    </row>
    <row r="8" spans="1:36" ht="15">
      <c r="A8" s="3291"/>
      <c r="B8" s="197" t="s">
        <v>2827</v>
      </c>
      <c r="C8" s="2740"/>
      <c r="D8" s="915" t="s">
        <v>139</v>
      </c>
      <c r="E8" s="916" t="e">
        <f>ROUND(C11/E7,4)</f>
        <v>#DIV/0!</v>
      </c>
      <c r="F8" s="2741" t="s">
        <v>2828</v>
      </c>
      <c r="G8" s="2742"/>
      <c r="H8" s="2742"/>
      <c r="I8" s="2742"/>
      <c r="J8" s="2743"/>
      <c r="K8" s="1368"/>
      <c r="L8" s="2716" t="s">
        <v>2829</v>
      </c>
      <c r="M8" s="1079">
        <f>SUMPRODUCT((区片价!B206:B244=I2)*(区片价!C3:F3=E2)*(区片价!C206:F244))</f>
        <v>0</v>
      </c>
      <c r="N8" s="1081">
        <f>SUMPRODUCT((因素修正幅度!B206:B244=I2)*(因素修正幅度!C3:F3=E2)*(因素修正幅度!C206:F244))</f>
        <v>0</v>
      </c>
      <c r="O8" s="1368"/>
      <c r="P8" s="1368"/>
      <c r="Q8" s="1368"/>
      <c r="R8" s="1598">
        <v>7</v>
      </c>
      <c r="S8" s="1599"/>
      <c r="T8" s="1598" t="e">
        <f t="shared" si="0"/>
        <v>#DIV/0!</v>
      </c>
      <c r="U8" s="1599"/>
      <c r="V8" s="1598" t="e">
        <f t="shared" si="1"/>
        <v>#DIV/0!</v>
      </c>
      <c r="W8" s="3283" t="s">
        <v>2830</v>
      </c>
      <c r="X8" s="3284"/>
      <c r="Y8" s="1606" t="s">
        <v>2831</v>
      </c>
      <c r="Z8" s="1606" t="s">
        <v>2832</v>
      </c>
      <c r="AA8" s="1606" t="s">
        <v>2833</v>
      </c>
      <c r="AB8" s="1606" t="s">
        <v>2834</v>
      </c>
      <c r="AC8" s="1606" t="s">
        <v>2835</v>
      </c>
      <c r="AD8" s="1606" t="s">
        <v>2836</v>
      </c>
      <c r="AE8" s="1606" t="s">
        <v>2837</v>
      </c>
      <c r="AF8" s="1606" t="s">
        <v>2838</v>
      </c>
      <c r="AG8" s="1606" t="s">
        <v>2839</v>
      </c>
      <c r="AH8" s="1606" t="s">
        <v>2840</v>
      </c>
      <c r="AI8" s="1606" t="s">
        <v>2841</v>
      </c>
      <c r="AJ8" s="1606" t="s">
        <v>2842</v>
      </c>
    </row>
    <row r="9" spans="1:36" ht="15">
      <c r="A9" s="3291"/>
      <c r="B9" s="197" t="s">
        <v>2843</v>
      </c>
      <c r="C9" s="917">
        <f>SUMIF(修正!C59:C119,C8,修正!E59:E119)</f>
        <v>0</v>
      </c>
      <c r="D9" s="199" t="s">
        <v>140</v>
      </c>
      <c r="E9" s="199" t="e">
        <f>ROUND(C11/E7,4)</f>
        <v>#DIV/0!</v>
      </c>
      <c r="F9" s="2741" t="s">
        <v>2844</v>
      </c>
      <c r="G9" s="2742"/>
      <c r="H9" s="2742"/>
      <c r="I9" s="2742"/>
      <c r="J9" s="2743"/>
      <c r="K9" s="1368"/>
      <c r="L9" s="2716" t="s">
        <v>2845</v>
      </c>
      <c r="M9" s="1079">
        <f>SUMPRODUCT((区片价!B245:B289=I2)*(区片价!C3:F3=E2)*(区片价!C245:F289))</f>
        <v>0</v>
      </c>
      <c r="N9" s="1081">
        <f>SUMPRODUCT((因素修正幅度!B245:B289=I2)*(因素修正幅度!C3:F3=E2)*(因素修正幅度!C245:F289))</f>
        <v>0</v>
      </c>
      <c r="O9" s="1368"/>
      <c r="P9" s="1368"/>
      <c r="Q9" s="1368"/>
      <c r="R9" s="1598">
        <v>8</v>
      </c>
      <c r="S9" s="1599"/>
      <c r="T9" s="1598" t="e">
        <f t="shared" si="0"/>
        <v>#DIV/0!</v>
      </c>
      <c r="U9" s="1599"/>
      <c r="V9" s="1598" t="e">
        <f t="shared" si="1"/>
        <v>#DIV/0!</v>
      </c>
      <c r="W9" s="3285" t="s">
        <v>2846</v>
      </c>
      <c r="X9" s="1607" t="s">
        <v>2847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91"/>
      <c r="B10" s="197" t="s">
        <v>2848</v>
      </c>
      <c r="C10" s="199">
        <f>SUMIF(修正!C59:C119,C8,修正!F59:F119)</f>
        <v>0</v>
      </c>
      <c r="D10" s="199" t="s">
        <v>141</v>
      </c>
      <c r="E10" s="199" t="e">
        <f>ROUND(C11/E7,4)</f>
        <v>#DIV/0!</v>
      </c>
      <c r="F10" s="2741" t="s">
        <v>2849</v>
      </c>
      <c r="G10" s="2742"/>
      <c r="H10" s="2742"/>
      <c r="I10" s="2742"/>
      <c r="J10" s="2743"/>
      <c r="K10" s="1368"/>
      <c r="L10" s="2716" t="s">
        <v>2850</v>
      </c>
      <c r="M10" s="1079">
        <f>SUMPRODUCT((区片价!B290:B316=I2)*(区片价!C3:F3=E2)*(区片价!C290:F316))</f>
        <v>0</v>
      </c>
      <c r="N10" s="1081">
        <f>SUMPRODUCT((因素修正幅度!B290:B316=I2)*(因素修正幅度!C3:F3=E2)*(因素修正幅度!C290:F316))</f>
        <v>0</v>
      </c>
      <c r="O10" s="1368"/>
      <c r="P10" s="1368"/>
      <c r="Q10" s="1368"/>
      <c r="R10" s="1598">
        <v>9</v>
      </c>
      <c r="S10" s="1599"/>
      <c r="T10" s="1598" t="e">
        <f t="shared" si="0"/>
        <v>#DIV/0!</v>
      </c>
      <c r="U10" s="1599"/>
      <c r="V10" s="1598" t="e">
        <f t="shared" si="1"/>
        <v>#DIV/0!</v>
      </c>
      <c r="W10" s="328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91"/>
      <c r="B11" s="2744" t="s">
        <v>2851</v>
      </c>
      <c r="C11" s="918">
        <f>C10/4</f>
        <v>0</v>
      </c>
      <c r="D11" s="918" t="s">
        <v>142</v>
      </c>
      <c r="E11" s="918" t="e">
        <f>ROUND(C11/E7,4)</f>
        <v>#DIV/0!</v>
      </c>
      <c r="F11" s="2745" t="s">
        <v>2852</v>
      </c>
      <c r="G11" s="2746"/>
      <c r="H11" s="2746"/>
      <c r="I11" s="2746"/>
      <c r="J11" s="2747"/>
      <c r="K11" s="1368"/>
      <c r="L11" s="2716" t="s">
        <v>2853</v>
      </c>
      <c r="M11" s="1079">
        <f>SUMPRODUCT((区片价!B317:B337=I2)*(区片价!C3:F3=E2)*(区片价!C317:F337))</f>
        <v>0</v>
      </c>
      <c r="N11" s="1081">
        <f>SUMPRODUCT((因素修正幅度!B317:B337=I2)*(因素修正幅度!C3:F3=E2)*(因素修正幅度!C317:F337))</f>
        <v>0</v>
      </c>
      <c r="O11" s="1368"/>
      <c r="P11" s="1368"/>
      <c r="Q11" s="1368"/>
      <c r="R11" s="1598">
        <v>10</v>
      </c>
      <c r="S11" s="1599"/>
      <c r="T11" s="1598" t="e">
        <f t="shared" si="0"/>
        <v>#DIV/0!</v>
      </c>
      <c r="U11" s="1599"/>
      <c r="V11" s="1598" t="e">
        <f t="shared" si="1"/>
        <v>#DIV/0!</v>
      </c>
      <c r="W11" s="3285" t="s">
        <v>2854</v>
      </c>
      <c r="X11" s="1610" t="s">
        <v>2855</v>
      </c>
      <c r="Y11" s="1611">
        <f>$G$3</f>
        <v>3.58</v>
      </c>
      <c r="Z11" s="1611">
        <f t="shared" ref="Z11:AJ11" si="3">$G$3</f>
        <v>3.58</v>
      </c>
      <c r="AA11" s="1611">
        <f t="shared" si="3"/>
        <v>3.58</v>
      </c>
      <c r="AB11" s="1611">
        <f t="shared" si="3"/>
        <v>3.58</v>
      </c>
      <c r="AC11" s="1611">
        <f t="shared" si="3"/>
        <v>3.58</v>
      </c>
      <c r="AD11" s="1611">
        <f t="shared" si="3"/>
        <v>3.58</v>
      </c>
      <c r="AE11" s="1611">
        <f t="shared" si="3"/>
        <v>3.58</v>
      </c>
      <c r="AF11" s="1611">
        <f t="shared" si="3"/>
        <v>3.58</v>
      </c>
      <c r="AG11" s="1611">
        <f t="shared" si="3"/>
        <v>3.58</v>
      </c>
      <c r="AH11" s="1611">
        <f t="shared" si="3"/>
        <v>3.58</v>
      </c>
      <c r="AI11" s="1611">
        <f t="shared" si="3"/>
        <v>3.58</v>
      </c>
      <c r="AJ11" s="1611">
        <f t="shared" si="3"/>
        <v>3.58</v>
      </c>
    </row>
    <row r="12" spans="1:36" ht="25.5" thickBot="1">
      <c r="A12" s="3290" t="s">
        <v>2856</v>
      </c>
      <c r="B12" s="2748" t="s">
        <v>2857</v>
      </c>
      <c r="C12" s="914">
        <f>ROUND(C15*D15*E15*F15*G15*H15*I15*J15,4)</f>
        <v>1</v>
      </c>
      <c r="D12" s="2749" t="s">
        <v>2858</v>
      </c>
      <c r="E12" s="2750"/>
      <c r="F12" s="2750"/>
      <c r="G12" s="2751"/>
      <c r="H12" s="2751"/>
      <c r="I12" s="2751"/>
      <c r="J12" s="2752"/>
      <c r="K12" s="1368"/>
      <c r="L12" s="2753" t="s">
        <v>2859</v>
      </c>
      <c r="M12" s="1080">
        <f>SUMPRODUCT((区片价!B338:B344=I2)*(区片价!C3:F3=E2)*(区片价!C338:F344))</f>
        <v>0</v>
      </c>
      <c r="N12" s="1081">
        <f>SUMPRODUCT((因素修正幅度!B338:B344=I2)*(因素修正幅度!C3:F3=E2)*(因素修正幅度!C338:F344))</f>
        <v>0</v>
      </c>
      <c r="O12" s="1368"/>
      <c r="P12" s="1368"/>
      <c r="Q12" s="1368"/>
      <c r="R12" s="1598">
        <v>11</v>
      </c>
      <c r="S12" s="1599"/>
      <c r="T12" s="1598" t="e">
        <f t="shared" si="0"/>
        <v>#DIV/0!</v>
      </c>
      <c r="U12" s="1599"/>
      <c r="V12" s="1598" t="e">
        <f t="shared" si="1"/>
        <v>#DIV/0!</v>
      </c>
      <c r="W12" s="3285"/>
      <c r="X12" s="1612" t="s">
        <v>2860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2"/>
      <c r="B13" s="2754" t="s">
        <v>2861</v>
      </c>
      <c r="C13" s="2755" t="s">
        <v>2862</v>
      </c>
      <c r="D13" s="1804" t="s">
        <v>2863</v>
      </c>
      <c r="E13" s="1804" t="s">
        <v>2864</v>
      </c>
      <c r="F13" s="30" t="s">
        <v>2865</v>
      </c>
      <c r="G13" s="2756" t="s">
        <v>2866</v>
      </c>
      <c r="H13" s="2756" t="s">
        <v>2866</v>
      </c>
      <c r="I13" s="2756" t="s">
        <v>2866</v>
      </c>
      <c r="J13" s="2757" t="s">
        <v>2866</v>
      </c>
      <c r="K13" s="1368"/>
      <c r="L13" s="1368"/>
      <c r="M13" s="1368"/>
      <c r="N13" s="1368"/>
      <c r="O13" s="1368"/>
      <c r="P13" s="1368"/>
      <c r="Q13" s="1368"/>
      <c r="R13" s="1598">
        <v>12</v>
      </c>
      <c r="S13" s="1599"/>
      <c r="T13" s="1598" t="e">
        <f t="shared" si="0"/>
        <v>#DIV/0!</v>
      </c>
      <c r="U13" s="1599"/>
      <c r="V13" s="1598" t="e">
        <f t="shared" si="1"/>
        <v>#DIV/0!</v>
      </c>
      <c r="W13" s="3285"/>
      <c r="X13" s="1612"/>
      <c r="Y13" s="1609">
        <f>(-0.163*(Y12^2)-0.59*Y12+7617)*(10^(-4))/Y11</f>
        <v>0.21276536312849162</v>
      </c>
      <c r="Z13" s="1609">
        <f t="shared" ref="Z13:AJ13" si="5">(-0.163*(Z12^2)-0.59*Z12+7617)*(10^(-4))/Z11</f>
        <v>0.21276536312849162</v>
      </c>
      <c r="AA13" s="1609">
        <f t="shared" si="5"/>
        <v>0.21276536312849162</v>
      </c>
      <c r="AB13" s="1609">
        <f t="shared" si="5"/>
        <v>0.21276536312849162</v>
      </c>
      <c r="AC13" s="1609">
        <f t="shared" si="5"/>
        <v>0.21276536312849162</v>
      </c>
      <c r="AD13" s="1609">
        <f t="shared" si="5"/>
        <v>0.21276536312849162</v>
      </c>
      <c r="AE13" s="1609">
        <f t="shared" si="5"/>
        <v>0.21276536312849162</v>
      </c>
      <c r="AF13" s="1609">
        <f t="shared" si="5"/>
        <v>0.21276536312849162</v>
      </c>
      <c r="AG13" s="1609">
        <f t="shared" si="5"/>
        <v>0.21276536312849162</v>
      </c>
      <c r="AH13" s="1609">
        <f t="shared" si="5"/>
        <v>0.21276536312849162</v>
      </c>
      <c r="AI13" s="1609">
        <f t="shared" si="5"/>
        <v>0.21276536312849162</v>
      </c>
      <c r="AJ13" s="1609">
        <f t="shared" si="5"/>
        <v>0.21276536312849162</v>
      </c>
    </row>
    <row r="14" spans="1:36" ht="15">
      <c r="A14" s="3292"/>
      <c r="B14" s="2758"/>
      <c r="C14" s="2759"/>
      <c r="D14" s="2760"/>
      <c r="E14" s="2760"/>
      <c r="F14" s="2761"/>
      <c r="G14" s="2762" t="s">
        <v>2867</v>
      </c>
      <c r="H14" s="2763"/>
      <c r="I14" s="2764"/>
      <c r="J14" s="2765"/>
      <c r="K14" s="1368"/>
      <c r="L14" s="1368"/>
      <c r="M14" s="1368"/>
      <c r="N14" s="1368"/>
      <c r="O14" s="1368"/>
      <c r="P14" s="1368"/>
      <c r="Q14" s="1368"/>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93"/>
      <c r="B15" s="2766" t="s">
        <v>2868</v>
      </c>
      <c r="C15" s="228">
        <f>IF(C14="有",1.1,1)</f>
        <v>1</v>
      </c>
      <c r="D15" s="228">
        <f>IF(D14="有",1.1,1)</f>
        <v>1</v>
      </c>
      <c r="E15" s="228">
        <f>IF(E14="有",1.1,1)</f>
        <v>1</v>
      </c>
      <c r="F15" s="228">
        <f>IF(F14="500米范围内",1.2,IF(F14="500-1000米",1.1,1))</f>
        <v>1</v>
      </c>
      <c r="G15" s="944">
        <v>1</v>
      </c>
      <c r="H15" s="944">
        <v>1</v>
      </c>
      <c r="I15" s="944">
        <v>1</v>
      </c>
      <c r="J15" s="945">
        <v>1</v>
      </c>
      <c r="K15" s="1368"/>
      <c r="L15" s="2767" t="s">
        <v>2804</v>
      </c>
      <c r="M15" s="915" t="s">
        <v>2869</v>
      </c>
      <c r="N15" s="915" t="s">
        <v>2870</v>
      </c>
      <c r="O15" s="915" t="s">
        <v>2871</v>
      </c>
      <c r="P15" s="2768" t="s">
        <v>2872</v>
      </c>
      <c r="Q15" s="1368"/>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90" t="s">
        <v>2873</v>
      </c>
      <c r="B16" s="2735" t="s">
        <v>2874</v>
      </c>
      <c r="C16" s="1797" t="e">
        <f>ROUND(SUM(G17:J17)/C17,0)</f>
        <v>#DIV/0!</v>
      </c>
      <c r="D16" s="2769" t="s">
        <v>2875</v>
      </c>
      <c r="E16" s="2770"/>
      <c r="F16" s="2771"/>
      <c r="G16" s="2772"/>
      <c r="H16" s="2772"/>
      <c r="I16" s="2772"/>
      <c r="J16" s="2773"/>
      <c r="K16" s="1368"/>
      <c r="L16" s="2774" t="s">
        <v>2876</v>
      </c>
      <c r="M16" s="917">
        <v>0.25</v>
      </c>
      <c r="N16" s="917">
        <v>0.2</v>
      </c>
      <c r="O16" s="917">
        <v>0.15</v>
      </c>
      <c r="P16" s="1367">
        <v>0.1</v>
      </c>
      <c r="Q16" s="1368"/>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91"/>
      <c r="B17" s="2775" t="s">
        <v>2877</v>
      </c>
      <c r="C17" s="919">
        <f>SUMPRODUCT((修正!A2:A5=E2)*(修正!B1:M1=G2)*(修正!B2:M5))</f>
        <v>0</v>
      </c>
      <c r="D17" s="2776"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7" t="s">
        <v>2880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78"/>
      <c r="AF17" s="2778"/>
      <c r="AG17" s="2710"/>
      <c r="AH17" s="2710"/>
      <c r="AI17" s="2710"/>
      <c r="AJ17" s="2710"/>
    </row>
    <row r="18" spans="1:37" s="2728" customFormat="1" ht="15.75" thickBot="1">
      <c r="A18" s="2779" t="s">
        <v>808</v>
      </c>
      <c r="B18" s="2780" t="s">
        <v>2881</v>
      </c>
      <c r="C18" s="921">
        <f>SUMIF(修正!C18:C39,E3,修正!E18:E39)</f>
        <v>0</v>
      </c>
      <c r="D18" s="2781"/>
      <c r="E18" s="2782"/>
      <c r="F18" s="2783"/>
      <c r="G18" s="2784"/>
      <c r="H18" s="2784"/>
      <c r="I18" s="2784"/>
      <c r="J18" s="2785"/>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28" customFormat="1" ht="27.75" thickBot="1">
      <c r="A19" s="2779" t="s">
        <v>809</v>
      </c>
      <c r="B19" s="2780" t="s">
        <v>2882</v>
      </c>
      <c r="C19" s="922" t="e">
        <f>ROUND(IF(H19="按公示增长率计算",SUMPRODUCT((地价!A3:A24=YEAR(G19)&amp;"-"&amp;ROUNDUP(MONTH(G19)/3,0))*(地价!X2:AB2=E2)*(地价!X3:AB24)),IF(H19="地价指数",M20/M19,(1+I19)^O19)),4)</f>
        <v>#DIV/0!</v>
      </c>
      <c r="D19" s="2787" t="s">
        <v>2883</v>
      </c>
      <c r="E19" s="923">
        <v>41640</v>
      </c>
      <c r="F19" s="2787" t="s">
        <v>2884</v>
      </c>
      <c r="G19" s="924">
        <f>'数据-取费表'!B2</f>
        <v>43424</v>
      </c>
      <c r="H19" s="2788" t="s">
        <v>2885</v>
      </c>
      <c r="I19" s="925" t="str">
        <f>IF(H19="季度增幅（自定义）",SUMIF(N21:N24,E2,O21:O24),"")</f>
        <v/>
      </c>
      <c r="J19" s="2785"/>
      <c r="K19" s="1375"/>
      <c r="L19" s="2789" t="s">
        <v>2886</v>
      </c>
      <c r="M19" s="1730">
        <f>ROUND(SUMIF(地价!B2:F2,E2,地价!B24:F24),0)</f>
        <v>0</v>
      </c>
      <c r="N19" s="2790" t="s">
        <v>2887</v>
      </c>
      <c r="O19" s="926">
        <f>ROUNDDOWN(DATEDIF(E19,G19,"M")/3,0)</f>
        <v>19</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28" customFormat="1" ht="27.75" thickBot="1">
      <c r="A20" s="2794" t="s">
        <v>810</v>
      </c>
      <c r="B20" s="2795" t="s">
        <v>2888</v>
      </c>
      <c r="C20" s="927" t="e">
        <f>ROUND(POWER(1+G20,J20-I20)*(POWER(1+G20,I20)-1)/(POWER(1+G20,J20)-1),4)</f>
        <v>#DIV/0!</v>
      </c>
      <c r="D20" s="2796" t="s">
        <v>2889</v>
      </c>
      <c r="E20" s="1764">
        <f ca="1">存贷款利率!D4/100</f>
        <v>4.3499999999999997E-2</v>
      </c>
      <c r="F20" s="2796" t="s">
        <v>2880</v>
      </c>
      <c r="G20" s="932">
        <f>SUMIF(M15:P15,E2,M17:P17)</f>
        <v>0</v>
      </c>
      <c r="H20" s="2796" t="s">
        <v>2890</v>
      </c>
      <c r="I20" s="933" t="e">
        <f>SUMIF('数据-取费表'!C6:C15,E2,'数据-取费表'!F6:F15)/COUNTIF('数据-取费表'!C6:C15,E2)</f>
        <v>#DIV/0!</v>
      </c>
      <c r="J20" s="934">
        <f>IF(E2="住宅",70,IF(E2="商业",40,50))</f>
        <v>50</v>
      </c>
      <c r="K20" s="1375"/>
      <c r="L20" s="2797" t="s">
        <v>2891</v>
      </c>
      <c r="M20" s="1731">
        <f>ROUND(SUMPRODUCT((地价!A4:A24=YEAR(G19)&amp;"-"&amp;ROUNDUP(MONTH(G19)/3,0))*(地价!B2:F2=E2)*(地价!B4:F24)),0)</f>
        <v>0</v>
      </c>
      <c r="N20" s="2798" t="s">
        <v>2892</v>
      </c>
      <c r="O20" s="2799" t="s">
        <v>2893</v>
      </c>
      <c r="P20" s="2800" t="s">
        <v>2894</v>
      </c>
      <c r="R20" s="1374"/>
      <c r="S20" s="1374"/>
      <c r="T20" s="1369"/>
      <c r="U20" s="1369"/>
      <c r="V20" s="1369"/>
      <c r="W20" s="1368"/>
      <c r="X20" s="1368"/>
      <c r="Y20" s="1368"/>
      <c r="Z20" s="1375"/>
      <c r="AA20" s="1376"/>
      <c r="AB20" s="1376"/>
      <c r="AC20" s="1376"/>
      <c r="AD20" s="1376"/>
      <c r="AE20" s="1376"/>
      <c r="AF20" s="1376"/>
    </row>
    <row r="21" spans="1:37" s="2728" customFormat="1" ht="15">
      <c r="A21" s="2801" t="s">
        <v>811</v>
      </c>
      <c r="B21" s="2802" t="s">
        <v>2895</v>
      </c>
      <c r="C21" s="935">
        <f>IF(B21="容积率修正",IF(G3&lt;=10,D22,J22),C23)</f>
        <v>0</v>
      </c>
      <c r="D21" s="2803"/>
      <c r="E21" s="2803"/>
      <c r="F21" s="2803"/>
      <c r="G21" s="2803"/>
      <c r="H21" s="2803"/>
      <c r="I21" s="2803"/>
      <c r="J21" s="2804"/>
      <c r="K21" s="1375"/>
      <c r="N21" s="2805" t="s">
        <v>2896</v>
      </c>
      <c r="O21" s="1558"/>
      <c r="P21" s="1559">
        <f>SUMPRODUCT((地价!A3:A24=YEAR(G19)&amp;"-"&amp;ROUNDUP(MONTH(G19)/3,0))*(地价!AD2:AH2=N21)*(地价!AD3:AH24))</f>
        <v>1.5299999999999999E-2</v>
      </c>
      <c r="R21" s="1374"/>
      <c r="S21" s="1374"/>
      <c r="T21" s="1369"/>
      <c r="U21" s="1369"/>
      <c r="V21" s="1369"/>
      <c r="W21" s="1368"/>
      <c r="X21" s="1368"/>
      <c r="Y21" s="1368"/>
      <c r="Z21" s="1375"/>
      <c r="AA21" s="1376"/>
      <c r="AB21" s="1376"/>
      <c r="AC21" s="1376"/>
      <c r="AD21" s="1376"/>
      <c r="AE21" s="1376"/>
      <c r="AF21" s="1376"/>
    </row>
    <row r="22" spans="1:37" s="2728" customFormat="1" ht="14.25">
      <c r="A22" s="2654" t="s">
        <v>2897</v>
      </c>
      <c r="B22" s="2806" t="s">
        <v>2898</v>
      </c>
      <c r="C22" s="1806" t="s">
        <v>2899</v>
      </c>
      <c r="D22" s="1806">
        <f>IF(E22=G22,F22,IF(G3&lt;=10,ROUND(F22+(H22-F22)*(G3-E22)/(G22-E22),4),"——"))</f>
        <v>0</v>
      </c>
      <c r="E22" s="911">
        <f>ROUNDDOWN(G3,1)</f>
        <v>3.5</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6" t="str">
        <f>IF(G3&gt;10,D113,"——")</f>
        <v>——</v>
      </c>
      <c r="K22" s="1375"/>
      <c r="N22" s="2805" t="s">
        <v>2900</v>
      </c>
      <c r="O22" s="1558"/>
      <c r="P22" s="1559">
        <f>SUMPRODUCT((地价!A3:A24=YEAR(G19)&amp;"-"&amp;ROUNDUP(MONTH(G19)/3,0))*(地价!AD2:AH2=N22)*(地价!AD3:AH24))</f>
        <v>1.5299999999999999E-2</v>
      </c>
      <c r="R22" s="1374"/>
      <c r="S22" s="1374"/>
      <c r="T22" s="1369"/>
      <c r="U22" s="1369"/>
      <c r="V22" s="1369"/>
      <c r="W22" s="1368"/>
      <c r="X22" s="1368"/>
      <c r="Y22" s="1368"/>
      <c r="Z22" s="1375"/>
      <c r="AA22" s="1376"/>
      <c r="AB22" s="1376"/>
      <c r="AC22" s="1376"/>
      <c r="AD22" s="1376"/>
      <c r="AE22" s="1376"/>
      <c r="AF22" s="1376"/>
    </row>
    <row r="23" spans="1:37" ht="27.75" thickBot="1">
      <c r="A23" s="2654" t="s">
        <v>2901</v>
      </c>
      <c r="B23" s="2807" t="s">
        <v>2902</v>
      </c>
      <c r="C23" s="1011">
        <f>ROUND(IF(G3&gt;1,IF(I3&lt;7,SUMPRODUCT((B93:B98=I3)*(C92:N92=G2)*(C93:N98)),SUMIF(C92:N92,G2,C100:N100)),IF(I3&lt;7,SUMPRODUCT((B102:B107=I3)*(C92:N92=G2)*(C102:N107)),SUMIF(C92:N92,G2,C109:N109))),4)</f>
        <v>0</v>
      </c>
      <c r="D23" s="2763"/>
      <c r="E23" s="2763"/>
      <c r="F23" s="2808"/>
      <c r="G23" s="2809"/>
      <c r="H23" s="2810"/>
      <c r="I23" s="2811"/>
      <c r="J23" s="2812"/>
      <c r="K23" s="1368"/>
      <c r="N23" s="2805" t="s">
        <v>2903</v>
      </c>
      <c r="O23" s="1558"/>
      <c r="P23" s="1559">
        <f>SUMPRODUCT((地价!A3:A24=YEAR(G19)&amp;"-"&amp;ROUNDUP(MONTH(G19)/3,0))*(地价!AD2:AH2=N23)*(地价!AD3:AH24))</f>
        <v>2.41E-2</v>
      </c>
      <c r="R23" s="1374"/>
      <c r="S23" s="1374"/>
      <c r="T23" s="1369"/>
      <c r="U23" s="1369"/>
      <c r="V23" s="1369"/>
      <c r="W23" s="1368"/>
      <c r="X23" s="1368"/>
      <c r="Y23" s="1368"/>
      <c r="Z23" s="1375"/>
      <c r="AA23" s="1376"/>
      <c r="AB23" s="1376"/>
      <c r="AC23" s="1376"/>
      <c r="AD23" s="1376"/>
      <c r="AK23" s="2786"/>
    </row>
    <row r="24" spans="1:37" s="2728" customFormat="1" ht="15.75" thickBot="1">
      <c r="A24" s="2794" t="s">
        <v>812</v>
      </c>
      <c r="B24" s="2780" t="s">
        <v>2904</v>
      </c>
      <c r="C24" s="922">
        <f>SUMIF(A45:A88,E2,B45:B88)</f>
        <v>0</v>
      </c>
      <c r="D24" s="2783"/>
      <c r="E24" s="2813"/>
      <c r="F24" s="2813"/>
      <c r="G24" s="2813"/>
      <c r="H24" s="2813"/>
      <c r="I24" s="2813"/>
      <c r="J24" s="2814"/>
      <c r="K24" s="1375"/>
      <c r="N24" s="2815" t="s">
        <v>2905</v>
      </c>
      <c r="O24" s="1560"/>
      <c r="P24" s="1561">
        <f>SUMPRODUCT((地价!A3:A24=YEAR(G19)&amp;"-"&amp;ROUNDUP(MONTH(G19)/3,0))*(地价!AD2:AH2=N24)*(地价!AD3:AH24))</f>
        <v>1.4200000000000001E-2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2906</v>
      </c>
      <c r="C25" s="928"/>
      <c r="D25" s="2738"/>
      <c r="E25" s="2738"/>
      <c r="F25" s="2817"/>
      <c r="G25" s="2738"/>
      <c r="H25" s="2738"/>
      <c r="I25" s="2738"/>
      <c r="J25" s="2739"/>
      <c r="K25" s="1368"/>
      <c r="N25" s="2818" t="s">
        <v>2907</v>
      </c>
      <c r="O25" s="1562"/>
      <c r="P25" s="1561">
        <f>SUMPRODUCT((地价!A3:A24=YEAR(G19)&amp;"-"&amp;ROUNDUP(MONTH(G19)/3,0))*(地价!AD2:AH2=N25)*(地价!AD3:AH24))</f>
        <v>2.1899999999999999E-2</v>
      </c>
      <c r="R25" s="1374"/>
      <c r="S25" s="1374"/>
      <c r="T25" s="1369"/>
      <c r="U25" s="1369"/>
      <c r="V25" s="1369"/>
      <c r="W25" s="1368"/>
      <c r="X25" s="1368"/>
      <c r="Y25" s="1368"/>
      <c r="Z25" s="1375"/>
      <c r="AA25" s="1376"/>
      <c r="AB25" s="1376"/>
      <c r="AC25" s="1376"/>
      <c r="AD25" s="1376"/>
    </row>
    <row r="26" spans="1:37" ht="15">
      <c r="A26" s="2819"/>
      <c r="B26" s="2806" t="s">
        <v>2908</v>
      </c>
      <c r="C26" s="205" t="e">
        <f>E29+SUM(E33:E39)</f>
        <v>#DIV/0!</v>
      </c>
      <c r="D26" s="2820"/>
      <c r="E26" s="2763"/>
      <c r="F26" s="2821"/>
      <c r="G26" s="2763"/>
      <c r="H26" s="2763"/>
      <c r="I26" s="2763"/>
      <c r="J26" s="2822"/>
      <c r="K26" s="1368"/>
      <c r="R26" s="1374"/>
      <c r="S26" s="1374"/>
      <c r="T26" s="1369"/>
      <c r="U26" s="1369"/>
      <c r="V26" s="1369"/>
      <c r="W26" s="1368"/>
      <c r="X26" s="1368"/>
      <c r="Y26" s="1368"/>
      <c r="Z26" s="1375"/>
      <c r="AA26" s="1376"/>
      <c r="AB26" s="1376"/>
      <c r="AC26" s="1376"/>
      <c r="AD26" s="1376"/>
    </row>
    <row r="27" spans="1:37" ht="15.75" thickBot="1">
      <c r="A27" s="2819"/>
      <c r="B27" s="2823" t="s">
        <v>2909</v>
      </c>
      <c r="C27" s="929" t="e">
        <f>E30+SUM(I33:I39)</f>
        <v>#DIV/0!</v>
      </c>
      <c r="D27" s="2824"/>
      <c r="E27" s="2825"/>
      <c r="F27" s="2826"/>
      <c r="G27" s="2825"/>
      <c r="H27" s="2825"/>
      <c r="I27" s="2825"/>
      <c r="J27" s="282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28"/>
      <c r="B28" s="2829" t="s">
        <v>2910</v>
      </c>
      <c r="C28" s="2830" t="s">
        <v>2911</v>
      </c>
      <c r="D28" s="2830" t="s">
        <v>2912</v>
      </c>
      <c r="E28" s="2831" t="s">
        <v>2913</v>
      </c>
      <c r="F28" s="2832"/>
      <c r="G28" s="2751"/>
      <c r="H28" s="2751"/>
      <c r="I28" s="2751"/>
      <c r="J28" s="275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3"/>
      <c r="B29" s="2834" t="s">
        <v>2914</v>
      </c>
      <c r="C29" s="205" t="e">
        <f>ROUND(C5*C18*C19*C20*C21*C24,0)</f>
        <v>#DIV/0!</v>
      </c>
      <c r="D29" s="2835"/>
      <c r="E29" s="940" t="e">
        <f>ROUND(C29*D29/10000,0)</f>
        <v>#DIV/0!</v>
      </c>
      <c r="F29" s="2836" t="s">
        <v>2915</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0"/>
      <c r="AH29" s="2710"/>
      <c r="AI29" s="2710"/>
      <c r="AJ29" s="2710"/>
    </row>
    <row r="30" spans="1:37" ht="25.5" thickBot="1">
      <c r="A30" s="2839"/>
      <c r="B30" s="2840" t="s">
        <v>2916</v>
      </c>
      <c r="C30" s="228" t="e">
        <f>ROUND(IF(E2="工业",C29*M39,C29*M38),0)</f>
        <v>#DIV/0!</v>
      </c>
      <c r="D30" s="2841"/>
      <c r="E30" s="940" t="e">
        <f>ROUND(C30*D30/10000,0)</f>
        <v>#DIV/0!</v>
      </c>
      <c r="F30" s="2842" t="s">
        <v>2917</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0"/>
      <c r="AH30" s="2710"/>
      <c r="AI30" s="2710"/>
      <c r="AJ30" s="2710"/>
    </row>
    <row r="31" spans="1:37" ht="14.25">
      <c r="A31" s="2845"/>
      <c r="B31" s="2846" t="s">
        <v>2918</v>
      </c>
      <c r="C31" s="2847" t="s">
        <v>2919</v>
      </c>
      <c r="D31" s="2751"/>
      <c r="E31" s="2847"/>
      <c r="F31" s="2847"/>
      <c r="G31" s="2749" t="s">
        <v>2920</v>
      </c>
      <c r="H31" s="2751"/>
      <c r="I31" s="2848"/>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0"/>
      <c r="AH31" s="2710"/>
      <c r="AI31" s="2710"/>
      <c r="AJ31" s="2710"/>
    </row>
    <row r="32" spans="1:37" ht="24">
      <c r="A32" s="2833"/>
      <c r="B32" s="2849"/>
      <c r="C32" s="500" t="s">
        <v>2911</v>
      </c>
      <c r="D32" s="497" t="s">
        <v>2912</v>
      </c>
      <c r="E32" s="497" t="s">
        <v>2913</v>
      </c>
      <c r="F32" s="387" t="s">
        <v>2921</v>
      </c>
      <c r="G32" s="2850" t="s">
        <v>2911</v>
      </c>
      <c r="H32" s="2850" t="s">
        <v>2912</v>
      </c>
      <c r="I32" s="2850" t="s">
        <v>2913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0"/>
      <c r="AH32" s="2710"/>
      <c r="AI32" s="2710"/>
      <c r="AJ32" s="2710"/>
    </row>
    <row r="33" spans="1:37" ht="36" customHeight="1">
      <c r="A33" s="3300" t="s">
        <v>2922</v>
      </c>
      <c r="B33" s="2851" t="s">
        <v>2923</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1"/>
      <c r="B34" s="2755" t="s">
        <v>2924</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1"/>
      <c r="B35" s="2755" t="s">
        <v>2925</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302"/>
      <c r="B36" s="2755" t="s">
        <v>2926</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8"/>
      <c r="L36" s="2709"/>
      <c r="M36" s="2709"/>
      <c r="N36" s="1368"/>
      <c r="O36" s="1368"/>
      <c r="P36" s="1368"/>
      <c r="Q36" s="1368"/>
      <c r="R36" s="1368"/>
      <c r="S36" s="1368"/>
      <c r="T36" s="1368"/>
      <c r="U36" s="1368"/>
      <c r="V36" s="1368"/>
      <c r="W36" s="1368"/>
      <c r="X36" s="1368"/>
      <c r="Y36" s="1368"/>
      <c r="Z36" s="1369"/>
    </row>
    <row r="37" spans="1:37">
      <c r="A37" s="2853"/>
      <c r="B37" s="2755" t="s">
        <v>2927</v>
      </c>
      <c r="C37" s="199" t="e">
        <f>ROUND(C5*C19*C20*C24*F37,0)</f>
        <v>#DIV/0!</v>
      </c>
      <c r="D37" s="2835"/>
      <c r="E37" s="199" t="e">
        <f t="shared" si="7"/>
        <v>#DIV/0!</v>
      </c>
      <c r="F37" s="205">
        <f>SUMIF(修正!A45:A56,G2,修正!F45:F56)</f>
        <v>0</v>
      </c>
      <c r="G37" s="199" t="e">
        <f>ROUND(IF(E2="工业",C37*$M$39,C37*$M$38),0)</f>
        <v>#DIV/0!</v>
      </c>
      <c r="H37" s="199">
        <f t="shared" si="8"/>
        <v>0</v>
      </c>
      <c r="I37" s="199" t="e">
        <f t="shared" si="9"/>
        <v>#DIV/0!</v>
      </c>
      <c r="J37" s="2852"/>
      <c r="K37" s="1368"/>
      <c r="L37" s="2854" t="s">
        <v>2928</v>
      </c>
      <c r="M37" s="2855"/>
      <c r="N37" s="1368"/>
      <c r="O37" s="1368"/>
      <c r="P37" s="1368"/>
      <c r="Q37" s="1368"/>
      <c r="R37" s="1368"/>
      <c r="S37" s="1368"/>
      <c r="T37" s="1368"/>
      <c r="U37" s="1368"/>
      <c r="V37" s="1368"/>
      <c r="W37" s="1368"/>
      <c r="X37" s="1368"/>
      <c r="Y37" s="1368"/>
      <c r="Z37" s="1369"/>
    </row>
    <row r="38" spans="1:37">
      <c r="A38" s="2853"/>
      <c r="B38" s="2755" t="s">
        <v>2929</v>
      </c>
      <c r="C38" s="199" t="e">
        <f>ROUND(C5*C19*C20*C24*F38,0)</f>
        <v>#DIV/0!</v>
      </c>
      <c r="D38" s="2835"/>
      <c r="E38" s="199" t="e">
        <f t="shared" si="7"/>
        <v>#DIV/0!</v>
      </c>
      <c r="F38" s="205">
        <f>SUMIF(修正!A45:A56,G2,修正!G45:G56)</f>
        <v>0</v>
      </c>
      <c r="G38" s="199" t="e">
        <f>ROUND(IF(E2="工业",C38*$M$39,C38*$M$38),0)</f>
        <v>#DIV/0!</v>
      </c>
      <c r="H38" s="199">
        <f t="shared" si="8"/>
        <v>0</v>
      </c>
      <c r="I38" s="199" t="e">
        <f t="shared" si="9"/>
        <v>#DIV/0!</v>
      </c>
      <c r="J38" s="2852"/>
      <c r="K38" s="1368"/>
      <c r="L38" s="1883" t="s">
        <v>2930</v>
      </c>
      <c r="M38" s="2856">
        <v>0.25</v>
      </c>
      <c r="N38" s="1368"/>
      <c r="O38" s="1368"/>
      <c r="P38" s="1368"/>
      <c r="Q38" s="1368"/>
      <c r="R38" s="1368"/>
      <c r="S38" s="1368"/>
      <c r="T38" s="1368"/>
      <c r="U38" s="1368"/>
      <c r="V38" s="1368"/>
      <c r="W38" s="1368"/>
      <c r="X38" s="1368"/>
      <c r="Y38" s="1368"/>
      <c r="Z38" s="1369"/>
    </row>
    <row r="39" spans="1:37" ht="13.5" thickBot="1">
      <c r="A39" s="2839"/>
      <c r="B39" s="2857" t="s">
        <v>2931</v>
      </c>
      <c r="C39" s="228" t="e">
        <f>ROUND(C5*C19*C20*C24*F39,0)</f>
        <v>#DIV/0!</v>
      </c>
      <c r="D39" s="2841"/>
      <c r="E39" s="228" t="e">
        <f t="shared" si="7"/>
        <v>#DIV/0!</v>
      </c>
      <c r="F39" s="930">
        <f>SUMIF(修正!A45:A56,G2,修正!H45:H56)</f>
        <v>0</v>
      </c>
      <c r="G39" s="228" t="e">
        <f>ROUND(IF(E2="工业",C39*$M$39,C39*$M$38),0)</f>
        <v>#DIV/0!</v>
      </c>
      <c r="H39" s="228">
        <f t="shared" si="8"/>
        <v>0</v>
      </c>
      <c r="I39" s="228" t="e">
        <f t="shared" si="9"/>
        <v>#DIV/0!</v>
      </c>
      <c r="J39" s="2858"/>
      <c r="K39" s="1368"/>
      <c r="L39" s="2859" t="s">
        <v>2872</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1"/>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2932</v>
      </c>
      <c r="B45" s="2863"/>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4" t="s">
        <v>2933</v>
      </c>
      <c r="B46" s="2865">
        <f>1+E48</f>
        <v>1</v>
      </c>
      <c r="C46" s="2866"/>
      <c r="D46" s="809"/>
      <c r="E46" s="810"/>
      <c r="F46" s="2867"/>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8" t="s">
        <v>2934</v>
      </c>
      <c r="B47" s="1805" t="s">
        <v>2935</v>
      </c>
      <c r="C47" s="1805" t="s">
        <v>2936</v>
      </c>
      <c r="D47" s="1805" t="s">
        <v>2937</v>
      </c>
      <c r="E47" s="814" t="s">
        <v>2938</v>
      </c>
      <c r="F47" s="2869" t="s">
        <v>2939</v>
      </c>
      <c r="G47" s="1805" t="s">
        <v>754</v>
      </c>
      <c r="H47" s="2870" t="s">
        <v>2940</v>
      </c>
      <c r="I47" s="1805" t="s">
        <v>2941</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68" t="s">
        <v>2942</v>
      </c>
      <c r="B48" s="2871" t="str">
        <f>估价对象房地状况!C4</f>
        <v>估价对象位于XX商圈，周边商业氛围成熟，人流量大，商业繁华度好</v>
      </c>
      <c r="C48" s="2760"/>
      <c r="D48" s="1284">
        <f t="shared" ref="D48:D56" si="10">SUMIF($J$47:$N$47,C48,J48:N48)</f>
        <v>0</v>
      </c>
      <c r="E48" s="816">
        <f>ROUND(SUM(D48:D56),4)</f>
        <v>0</v>
      </c>
      <c r="F48" s="2493"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8" t="s">
        <v>2943</v>
      </c>
      <c r="B49" s="2872" t="str">
        <f>估价对象房地状况!C18</f>
        <v>估价对象周边道路状况、公共交通通达情况、停车便捷程度，综合评价交通便捷度较好</v>
      </c>
      <c r="C49" s="2760"/>
      <c r="D49" s="1284">
        <f t="shared" si="10"/>
        <v>0</v>
      </c>
      <c r="E49" s="817"/>
      <c r="F49" s="2493"/>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2944</v>
      </c>
      <c r="B50" s="2872">
        <f>估价对象房地状况!C19</f>
        <v>0</v>
      </c>
      <c r="C50" s="2760"/>
      <c r="D50" s="1284">
        <f t="shared" si="10"/>
        <v>0</v>
      </c>
      <c r="E50" s="817"/>
      <c r="F50" s="2493"/>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2945</v>
      </c>
      <c r="B51" s="2873" t="s">
        <v>2946</v>
      </c>
      <c r="C51" s="2760"/>
      <c r="D51" s="1284">
        <f t="shared" si="10"/>
        <v>0</v>
      </c>
      <c r="E51" s="817"/>
      <c r="F51" s="2493"/>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2947</v>
      </c>
      <c r="B52" s="2872">
        <f>估价对象房地状况!C24</f>
        <v>0</v>
      </c>
      <c r="C52" s="2760"/>
      <c r="D52" s="1284">
        <f t="shared" si="10"/>
        <v>0</v>
      </c>
      <c r="E52" s="817"/>
      <c r="F52" s="2493"/>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2948</v>
      </c>
      <c r="B53" s="2874" t="s">
        <v>2949</v>
      </c>
      <c r="C53" s="2760"/>
      <c r="D53" s="1284">
        <f t="shared" si="10"/>
        <v>0</v>
      </c>
      <c r="E53" s="817"/>
      <c r="F53" s="2493"/>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5" t="s">
        <v>2950</v>
      </c>
      <c r="B54" s="1721" t="str">
        <f>估价对象房地状况!C21</f>
        <v>估价对象所在区域公共配套设施齐备情况</v>
      </c>
      <c r="C54" s="2760"/>
      <c r="D54" s="1284">
        <f t="shared" si="10"/>
        <v>0</v>
      </c>
      <c r="E54" s="817"/>
      <c r="F54" s="2493"/>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5" t="s">
        <v>2951</v>
      </c>
      <c r="B55" s="2872" t="str">
        <f>估价对象房地状况!C22</f>
        <v>估价对象所在区域基础设施水平</v>
      </c>
      <c r="C55" s="2760"/>
      <c r="D55" s="1284">
        <f t="shared" si="10"/>
        <v>0</v>
      </c>
      <c r="E55" s="817"/>
      <c r="F55" s="2493"/>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6" t="s">
        <v>2952</v>
      </c>
      <c r="B56" s="2877" t="str">
        <f>估价对象房地状况!C20</f>
        <v>区域自然环境：；人文环境；综合评价环境状况一般</v>
      </c>
      <c r="C56" s="2760"/>
      <c r="D56" s="1284">
        <f t="shared" si="10"/>
        <v>0</v>
      </c>
      <c r="E56" s="820"/>
      <c r="F56" s="2493"/>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2953</v>
      </c>
      <c r="B57" s="2865">
        <f>1+E59</f>
        <v>1</v>
      </c>
      <c r="C57" s="809"/>
      <c r="D57" s="809"/>
      <c r="E57" s="810"/>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2934</v>
      </c>
      <c r="B58" s="1805"/>
      <c r="C58" s="1805" t="s">
        <v>2936</v>
      </c>
      <c r="D58" s="1805" t="s">
        <v>2937</v>
      </c>
      <c r="E58" s="814" t="s">
        <v>2938</v>
      </c>
      <c r="F58" s="2869" t="s">
        <v>2954</v>
      </c>
      <c r="G58" s="1805" t="s">
        <v>754</v>
      </c>
      <c r="H58" s="2870" t="s">
        <v>2940</v>
      </c>
      <c r="I58" s="1805" t="s">
        <v>2941</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38.25">
      <c r="A59" s="2868" t="s">
        <v>2955</v>
      </c>
      <c r="B59" s="2871" t="str">
        <f>估价对象房地状况!C17</f>
        <v>估价对象位于XX商圈，周边办公楼项目较多，入驻率高，办公集聚程度较好</v>
      </c>
      <c r="C59" s="2760"/>
      <c r="D59" s="1284">
        <f t="shared" ref="D59:D67" si="15">SUMIF($J$58:$N$58,C59,J59:N59)</f>
        <v>0</v>
      </c>
      <c r="E59" s="816">
        <f>ROUND(SUM(D59:D67),4)</f>
        <v>0</v>
      </c>
      <c r="F59" s="2493"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8" t="s">
        <v>2943</v>
      </c>
      <c r="B60" s="2872" t="str">
        <f>估价对象房地状况!C18</f>
        <v>估价对象周边道路状况、公共交通通达情况、停车便捷程度，综合评价交通便捷度较好</v>
      </c>
      <c r="C60" s="2760"/>
      <c r="D60" s="1284">
        <f t="shared" si="15"/>
        <v>0</v>
      </c>
      <c r="E60" s="817"/>
      <c r="F60" s="2493"/>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2944</v>
      </c>
      <c r="B61" s="2872">
        <f>估价对象房地状况!C19</f>
        <v>0</v>
      </c>
      <c r="C61" s="2760"/>
      <c r="D61" s="1284">
        <f t="shared" si="15"/>
        <v>0</v>
      </c>
      <c r="E61" s="817"/>
      <c r="F61" s="2493"/>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2945</v>
      </c>
      <c r="B62" s="2873" t="s">
        <v>2946</v>
      </c>
      <c r="C62" s="2760"/>
      <c r="D62" s="1284">
        <f t="shared" si="15"/>
        <v>0</v>
      </c>
      <c r="E62" s="817"/>
      <c r="F62" s="2493"/>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2947</v>
      </c>
      <c r="B63" s="2872">
        <f>估价对象房地状况!C24</f>
        <v>0</v>
      </c>
      <c r="C63" s="2760"/>
      <c r="D63" s="1284">
        <f t="shared" si="15"/>
        <v>0</v>
      </c>
      <c r="E63" s="817"/>
      <c r="F63" s="2493"/>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2948</v>
      </c>
      <c r="B64" s="2874" t="s">
        <v>2949</v>
      </c>
      <c r="C64" s="2760"/>
      <c r="D64" s="1284">
        <f t="shared" si="15"/>
        <v>0</v>
      </c>
      <c r="E64" s="817"/>
      <c r="F64" s="2493"/>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8" t="s">
        <v>2950</v>
      </c>
      <c r="B65" s="1721" t="str">
        <f>估价对象房地状况!C21</f>
        <v>估价对象所在区域公共配套设施齐备情况</v>
      </c>
      <c r="C65" s="2760"/>
      <c r="D65" s="1284">
        <f t="shared" si="15"/>
        <v>0</v>
      </c>
      <c r="E65" s="817"/>
      <c r="F65" s="2493"/>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8" t="s">
        <v>2951</v>
      </c>
      <c r="B66" s="1721" t="str">
        <f>估价对象房地状况!C22</f>
        <v>估价对象所在区域基础设施水平</v>
      </c>
      <c r="C66" s="2760"/>
      <c r="D66" s="1284">
        <f t="shared" si="15"/>
        <v>0</v>
      </c>
      <c r="E66" s="817"/>
      <c r="F66" s="2493"/>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6" t="s">
        <v>2952</v>
      </c>
      <c r="B67" s="2878" t="str">
        <f>估价对象房地状况!C20</f>
        <v>区域自然环境：；人文环境；综合评价环境状况一般</v>
      </c>
      <c r="C67" s="2760"/>
      <c r="D67" s="1284">
        <f t="shared" si="15"/>
        <v>0</v>
      </c>
      <c r="E67" s="820"/>
      <c r="F67" s="2493"/>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2956</v>
      </c>
      <c r="B68" s="2865">
        <f>1+E70</f>
        <v>1</v>
      </c>
      <c r="C68" s="809"/>
      <c r="D68" s="809"/>
      <c r="E68" s="810"/>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2934</v>
      </c>
      <c r="B69" s="1805"/>
      <c r="C69" s="1805" t="s">
        <v>2936</v>
      </c>
      <c r="D69" s="1805" t="s">
        <v>2937</v>
      </c>
      <c r="E69" s="814" t="s">
        <v>2938</v>
      </c>
      <c r="F69" s="2869" t="s">
        <v>2954</v>
      </c>
      <c r="G69" s="1805" t="s">
        <v>754</v>
      </c>
      <c r="H69" s="2870" t="s">
        <v>2940</v>
      </c>
      <c r="I69" s="1805" t="s">
        <v>2941</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51">
      <c r="A70" s="2868" t="s">
        <v>2957</v>
      </c>
      <c r="B70" s="2871" t="str">
        <f>估价对象房地状况!C15</f>
        <v>估价对象周边居住用地比例、居住小区规模和社区发展完善程度，综合评价居住社区成熟度一般</v>
      </c>
      <c r="C70" s="2760"/>
      <c r="D70" s="1284">
        <f t="shared" ref="D70:D78" si="20">SUMIF($J$69:$N$69,C70,J70:N70)</f>
        <v>0</v>
      </c>
      <c r="E70" s="816">
        <f>ROUND(SUM(D70:D78),4)</f>
        <v>0</v>
      </c>
      <c r="F70" s="2493"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8" t="s">
        <v>2943</v>
      </c>
      <c r="B71" s="2872" t="str">
        <f>估价对象房地状况!C18</f>
        <v>估价对象周边道路状况、公共交通通达情况、停车便捷程度，综合评价交通便捷度较好</v>
      </c>
      <c r="C71" s="2760"/>
      <c r="D71" s="1284">
        <f t="shared" si="20"/>
        <v>0</v>
      </c>
      <c r="E71" s="821"/>
      <c r="F71" s="2493"/>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2944</v>
      </c>
      <c r="B72" s="2872">
        <f>估价对象房地状况!C19</f>
        <v>0</v>
      </c>
      <c r="C72" s="2760"/>
      <c r="D72" s="1284">
        <f t="shared" si="20"/>
        <v>0</v>
      </c>
      <c r="E72" s="821"/>
      <c r="F72" s="2493"/>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2958</v>
      </c>
      <c r="B73" s="2872">
        <f>估价对象房地状况!C24</f>
        <v>0</v>
      </c>
      <c r="C73" s="2760"/>
      <c r="D73" s="1284">
        <f t="shared" si="20"/>
        <v>0</v>
      </c>
      <c r="E73" s="821"/>
      <c r="F73" s="2493"/>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8" t="s">
        <v>2950</v>
      </c>
      <c r="B74" s="1721" t="str">
        <f>估价对象房地状况!C21</f>
        <v>估价对象所在区域公共配套设施齐备情况</v>
      </c>
      <c r="C74" s="2760"/>
      <c r="D74" s="1284">
        <f t="shared" si="20"/>
        <v>0</v>
      </c>
      <c r="E74" s="821"/>
      <c r="F74" s="2493"/>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8" t="s">
        <v>2951</v>
      </c>
      <c r="B75" s="1721" t="str">
        <f>估价对象房地状况!C22</f>
        <v>估价对象所在区域基础设施水平</v>
      </c>
      <c r="C75" s="2760"/>
      <c r="D75" s="1284">
        <f t="shared" si="20"/>
        <v>0</v>
      </c>
      <c r="E75" s="821"/>
      <c r="F75" s="2493"/>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09" customFormat="1" ht="24">
      <c r="A76" s="2868" t="s">
        <v>2948</v>
      </c>
      <c r="B76" s="2874" t="s">
        <v>2949</v>
      </c>
      <c r="C76" s="2760"/>
      <c r="D76" s="1284">
        <f t="shared" si="20"/>
        <v>0</v>
      </c>
      <c r="E76" s="821"/>
      <c r="F76" s="2493"/>
      <c r="G76" s="1282"/>
      <c r="H76" s="1286" t="str">
        <f t="shared" si="21"/>
        <v>——</v>
      </c>
      <c r="I76" s="815">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38.25">
      <c r="A77" s="2868" t="s">
        <v>2952</v>
      </c>
      <c r="B77" s="2871" t="str">
        <f>估价对象房地状况!C20</f>
        <v>区域自然环境：；人文环境；综合评价环境状况一般</v>
      </c>
      <c r="C77" s="2760"/>
      <c r="D77" s="1284">
        <f t="shared" si="20"/>
        <v>0</v>
      </c>
      <c r="E77" s="821"/>
      <c r="F77" s="2493"/>
      <c r="G77" s="1282"/>
      <c r="H77" s="1286" t="str">
        <f t="shared" si="21"/>
        <v>——</v>
      </c>
      <c r="I77" s="815">
        <v>0.15</v>
      </c>
      <c r="J77" s="1283">
        <f t="shared" si="22"/>
        <v>0</v>
      </c>
      <c r="K77" s="1283">
        <f t="shared" si="23"/>
        <v>0</v>
      </c>
      <c r="L77" s="1283">
        <v>0</v>
      </c>
      <c r="M77" s="1283">
        <f t="shared" si="24"/>
        <v>0</v>
      </c>
      <c r="N77" s="1283">
        <f t="shared" si="24"/>
        <v>0</v>
      </c>
      <c r="Z77" s="2710"/>
      <c r="AA77" s="2786"/>
      <c r="AG77" s="1370"/>
      <c r="AK77" s="2786"/>
    </row>
    <row r="78" spans="1:37" ht="24.75" thickBot="1">
      <c r="A78" s="2876" t="s">
        <v>2959</v>
      </c>
      <c r="B78" s="2880"/>
      <c r="C78" s="2760"/>
      <c r="D78" s="1284">
        <f t="shared" si="20"/>
        <v>0</v>
      </c>
      <c r="E78" s="822"/>
      <c r="F78" s="2493"/>
      <c r="G78" s="1282"/>
      <c r="H78" s="1286" t="str">
        <f t="shared" si="21"/>
        <v>——</v>
      </c>
      <c r="I78" s="819">
        <v>0.04</v>
      </c>
      <c r="J78" s="1283">
        <f t="shared" si="22"/>
        <v>0</v>
      </c>
      <c r="K78" s="1283">
        <f t="shared" si="23"/>
        <v>0</v>
      </c>
      <c r="L78" s="1283">
        <v>0</v>
      </c>
      <c r="M78" s="1283">
        <f t="shared" si="24"/>
        <v>0</v>
      </c>
      <c r="N78" s="1283">
        <f t="shared" si="24"/>
        <v>0</v>
      </c>
      <c r="Z78" s="2710"/>
      <c r="AA78" s="2786"/>
      <c r="AG78" s="1370"/>
      <c r="AK78" s="2786"/>
    </row>
    <row r="79" spans="1:37" ht="15">
      <c r="A79" s="2864" t="s">
        <v>2960</v>
      </c>
      <c r="B79" s="2865">
        <f>1+E81</f>
        <v>1</v>
      </c>
      <c r="C79" s="809"/>
      <c r="D79" s="809"/>
      <c r="E79" s="810"/>
      <c r="F79" s="2867"/>
      <c r="G79" s="6"/>
      <c r="H79" s="6"/>
      <c r="I79" s="6"/>
      <c r="J79" s="7"/>
      <c r="K79" s="7"/>
      <c r="L79" s="7"/>
      <c r="M79" s="7"/>
      <c r="N79" s="7"/>
      <c r="Z79" s="2710"/>
      <c r="AA79" s="2786"/>
      <c r="AG79" s="1370"/>
      <c r="AK79" s="2786"/>
    </row>
    <row r="80" spans="1:37" ht="24.75">
      <c r="A80" s="2868" t="s">
        <v>2934</v>
      </c>
      <c r="B80" s="1805"/>
      <c r="C80" s="1805" t="s">
        <v>2936</v>
      </c>
      <c r="D80" s="1805" t="s">
        <v>2937</v>
      </c>
      <c r="E80" s="814" t="s">
        <v>2938</v>
      </c>
      <c r="F80" s="2869" t="s">
        <v>2954</v>
      </c>
      <c r="G80" s="1805" t="s">
        <v>754</v>
      </c>
      <c r="H80" s="2870" t="s">
        <v>2940</v>
      </c>
      <c r="I80" s="1805" t="s">
        <v>2941</v>
      </c>
      <c r="J80" s="602" t="s">
        <v>2589</v>
      </c>
      <c r="K80" s="602" t="s">
        <v>2590</v>
      </c>
      <c r="L80" s="602" t="s">
        <v>2591</v>
      </c>
      <c r="M80" s="602" t="s">
        <v>2592</v>
      </c>
      <c r="N80" s="602" t="s">
        <v>2593</v>
      </c>
      <c r="Z80" s="2710"/>
      <c r="AA80" s="2786"/>
      <c r="AG80" s="1370"/>
      <c r="AK80" s="2786"/>
    </row>
    <row r="81" spans="1:37" ht="38.25">
      <c r="A81" s="2868" t="s">
        <v>2961</v>
      </c>
      <c r="B81" s="2872" t="str">
        <f>估价对象房地状况!G15</f>
        <v>估价对象位于XX开发区，园区建设成熟度XX，产业集聚程度XX</v>
      </c>
      <c r="C81" s="2760"/>
      <c r="D81" s="1284">
        <f t="shared" ref="D81:D88" si="25">SUMIF($J$80:$N$80,C81,J81:N81)</f>
        <v>0</v>
      </c>
      <c r="E81" s="816">
        <f>ROUND(SUM(D81:D88),4)</f>
        <v>0</v>
      </c>
      <c r="F81" s="2493"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0"/>
      <c r="AA81" s="2786"/>
      <c r="AG81" s="1370"/>
      <c r="AK81" s="2786"/>
    </row>
    <row r="82" spans="1:37" ht="51">
      <c r="A82" s="2868" t="s">
        <v>2943</v>
      </c>
      <c r="B82" s="2872" t="str">
        <f>估价对象房地状况!G16</f>
        <v>估价对象周边道路状况、公共交通通达情况、停车便捷程度，综合评价交通便捷度较好</v>
      </c>
      <c r="C82" s="2760"/>
      <c r="D82" s="1284">
        <f t="shared" si="25"/>
        <v>0</v>
      </c>
      <c r="E82" s="821"/>
      <c r="F82" s="2493"/>
      <c r="G82" s="1282"/>
      <c r="H82" s="1286" t="str">
        <f t="shared" si="26"/>
        <v>——</v>
      </c>
      <c r="I82" s="815">
        <v>0.33</v>
      </c>
      <c r="J82" s="1283">
        <f t="shared" si="27"/>
        <v>0</v>
      </c>
      <c r="K82" s="1283">
        <f t="shared" si="28"/>
        <v>0</v>
      </c>
      <c r="L82" s="1283">
        <v>0</v>
      </c>
      <c r="M82" s="1283">
        <f t="shared" si="29"/>
        <v>0</v>
      </c>
      <c r="N82" s="1283">
        <f t="shared" si="29"/>
        <v>0</v>
      </c>
      <c r="Z82" s="2710"/>
      <c r="AA82" s="2786"/>
      <c r="AG82" s="1370"/>
      <c r="AK82" s="2786"/>
    </row>
    <row r="83" spans="1:37" ht="24">
      <c r="A83" s="2868" t="s">
        <v>2944</v>
      </c>
      <c r="B83" s="2872">
        <f>估价对象房地状况!G17</f>
        <v>0</v>
      </c>
      <c r="C83" s="2760"/>
      <c r="D83" s="1284">
        <f t="shared" si="25"/>
        <v>0</v>
      </c>
      <c r="E83" s="821"/>
      <c r="F83" s="2493"/>
      <c r="G83" s="1282"/>
      <c r="H83" s="1286" t="str">
        <f t="shared" si="26"/>
        <v>——</v>
      </c>
      <c r="I83" s="815">
        <v>0.05</v>
      </c>
      <c r="J83" s="1283">
        <f t="shared" si="27"/>
        <v>0</v>
      </c>
      <c r="K83" s="1283">
        <f t="shared" si="28"/>
        <v>0</v>
      </c>
      <c r="L83" s="1283">
        <v>0</v>
      </c>
      <c r="M83" s="1283">
        <f t="shared" si="29"/>
        <v>0</v>
      </c>
      <c r="N83" s="1283">
        <f t="shared" si="29"/>
        <v>0</v>
      </c>
      <c r="Z83" s="2710"/>
      <c r="AA83" s="2786"/>
      <c r="AG83" s="1370"/>
      <c r="AK83" s="2786"/>
    </row>
    <row r="84" spans="1:37" ht="14.25">
      <c r="A84" s="2868" t="s">
        <v>2958</v>
      </c>
      <c r="B84" s="2872">
        <f>估价对象房地状况!G22</f>
        <v>0</v>
      </c>
      <c r="C84" s="2760"/>
      <c r="D84" s="1284">
        <f t="shared" si="25"/>
        <v>0</v>
      </c>
      <c r="E84" s="821"/>
      <c r="F84" s="2493"/>
      <c r="G84" s="1282"/>
      <c r="H84" s="1286" t="str">
        <f t="shared" si="26"/>
        <v>——</v>
      </c>
      <c r="I84" s="815">
        <v>0.04</v>
      </c>
      <c r="J84" s="1283">
        <f t="shared" si="27"/>
        <v>0</v>
      </c>
      <c r="K84" s="1283">
        <f t="shared" si="28"/>
        <v>0</v>
      </c>
      <c r="L84" s="1283">
        <v>0</v>
      </c>
      <c r="M84" s="1283">
        <f t="shared" si="29"/>
        <v>0</v>
      </c>
      <c r="N84" s="1283">
        <f t="shared" si="29"/>
        <v>0</v>
      </c>
      <c r="Z84" s="2710"/>
      <c r="AA84" s="2786"/>
      <c r="AG84" s="1370"/>
      <c r="AK84" s="2786"/>
    </row>
    <row r="85" spans="1:37" ht="25.5">
      <c r="A85" s="2868" t="s">
        <v>2950</v>
      </c>
      <c r="B85" s="1721" t="str">
        <f>估价对象房地状况!G19</f>
        <v>估价对象所在区域公共配套设施齐备情况</v>
      </c>
      <c r="C85" s="2760"/>
      <c r="D85" s="1284">
        <f t="shared" si="25"/>
        <v>0</v>
      </c>
      <c r="E85" s="821"/>
      <c r="F85" s="2493"/>
      <c r="G85" s="1282"/>
      <c r="H85" s="1286" t="str">
        <f t="shared" si="26"/>
        <v>——</v>
      </c>
      <c r="I85" s="815">
        <v>0.06</v>
      </c>
      <c r="J85" s="1283">
        <f t="shared" si="27"/>
        <v>0</v>
      </c>
      <c r="K85" s="1283">
        <f t="shared" si="28"/>
        <v>0</v>
      </c>
      <c r="L85" s="1283">
        <v>0</v>
      </c>
      <c r="M85" s="1283">
        <f t="shared" si="29"/>
        <v>0</v>
      </c>
      <c r="N85" s="1283">
        <f t="shared" si="29"/>
        <v>0</v>
      </c>
      <c r="Z85" s="2710"/>
      <c r="AA85" s="2786"/>
      <c r="AG85" s="1370"/>
      <c r="AK85" s="2786"/>
    </row>
    <row r="86" spans="1:37" ht="25.5">
      <c r="A86" s="2868" t="s">
        <v>2951</v>
      </c>
      <c r="B86" s="1721" t="str">
        <f>估价对象房地状况!G20</f>
        <v>估价对象所在区域基础设施水平</v>
      </c>
      <c r="C86" s="2760"/>
      <c r="D86" s="1284">
        <f t="shared" si="25"/>
        <v>0</v>
      </c>
      <c r="E86" s="821"/>
      <c r="F86" s="2493"/>
      <c r="G86" s="1282"/>
      <c r="H86" s="1286" t="str">
        <f t="shared" si="26"/>
        <v>——</v>
      </c>
      <c r="I86" s="815">
        <v>0.15</v>
      </c>
      <c r="J86" s="1283">
        <f t="shared" si="27"/>
        <v>0</v>
      </c>
      <c r="K86" s="1283">
        <f t="shared" si="28"/>
        <v>0</v>
      </c>
      <c r="L86" s="1283">
        <v>0</v>
      </c>
      <c r="M86" s="1283">
        <f t="shared" si="29"/>
        <v>0</v>
      </c>
      <c r="N86" s="1283">
        <f t="shared" si="29"/>
        <v>0</v>
      </c>
      <c r="Z86" s="2710"/>
      <c r="AA86" s="2786"/>
      <c r="AG86" s="1370"/>
      <c r="AK86" s="2786"/>
    </row>
    <row r="87" spans="1:37" ht="24">
      <c r="A87" s="2868" t="s">
        <v>2948</v>
      </c>
      <c r="B87" s="2874" t="s">
        <v>2962</v>
      </c>
      <c r="C87" s="2760"/>
      <c r="D87" s="1284">
        <f t="shared" si="25"/>
        <v>0</v>
      </c>
      <c r="E87" s="821"/>
      <c r="F87" s="2493"/>
      <c r="G87" s="1282"/>
      <c r="H87" s="1286" t="str">
        <f t="shared" si="26"/>
        <v>——</v>
      </c>
      <c r="I87" s="815">
        <v>0.05</v>
      </c>
      <c r="J87" s="1283">
        <f t="shared" si="27"/>
        <v>0</v>
      </c>
      <c r="K87" s="1283">
        <f t="shared" si="28"/>
        <v>0</v>
      </c>
      <c r="L87" s="1283">
        <v>0</v>
      </c>
      <c r="M87" s="1283">
        <f t="shared" si="29"/>
        <v>0</v>
      </c>
      <c r="N87" s="1283">
        <f t="shared" si="29"/>
        <v>0</v>
      </c>
      <c r="Z87" s="2710"/>
      <c r="AA87" s="2786"/>
      <c r="AG87" s="1370"/>
      <c r="AK87" s="2786"/>
    </row>
    <row r="88" spans="1:37" ht="39" thickBot="1">
      <c r="A88" s="2876" t="s">
        <v>2963</v>
      </c>
      <c r="B88" s="2881" t="str">
        <f>估价对象房地状况!G18</f>
        <v>该园区内是否有污染型企业，绿化情况，卫生条件，整体环境状况判断</v>
      </c>
      <c r="C88" s="2760"/>
      <c r="D88" s="1284">
        <f t="shared" si="25"/>
        <v>0</v>
      </c>
      <c r="E88" s="822"/>
      <c r="F88" s="2493"/>
      <c r="G88" s="1282"/>
      <c r="H88" s="1286" t="str">
        <f t="shared" si="26"/>
        <v>——</v>
      </c>
      <c r="I88" s="819">
        <v>0.06</v>
      </c>
      <c r="J88" s="1283">
        <f t="shared" si="27"/>
        <v>0</v>
      </c>
      <c r="K88" s="1283">
        <f t="shared" si="28"/>
        <v>0</v>
      </c>
      <c r="L88" s="1283">
        <v>0</v>
      </c>
      <c r="M88" s="1283">
        <f t="shared" si="29"/>
        <v>0</v>
      </c>
      <c r="N88" s="1283">
        <f t="shared" si="29"/>
        <v>0</v>
      </c>
      <c r="Z88" s="2710"/>
      <c r="AA88" s="2786"/>
      <c r="AG88" s="1370"/>
      <c r="AK88" s="2786"/>
    </row>
    <row r="90" spans="1:37">
      <c r="A90" s="3294" t="s">
        <v>2964</v>
      </c>
      <c r="B90" s="3294"/>
      <c r="C90" s="3294"/>
      <c r="D90" s="3294"/>
      <c r="E90" s="3294"/>
      <c r="F90" s="3294"/>
      <c r="G90" s="3294"/>
      <c r="H90" s="3294"/>
      <c r="I90" s="3294"/>
      <c r="J90" s="3294"/>
      <c r="K90" s="2882"/>
      <c r="L90" s="2882"/>
      <c r="M90" s="2882"/>
      <c r="N90" s="2882"/>
    </row>
    <row r="91" spans="1:37">
      <c r="A91" s="3296" t="s">
        <v>2965</v>
      </c>
      <c r="B91" s="3296" t="s">
        <v>2966</v>
      </c>
      <c r="C91" s="2836" t="s">
        <v>2967</v>
      </c>
      <c r="D91" s="2837"/>
      <c r="E91" s="2837"/>
      <c r="F91" s="2837"/>
      <c r="G91" s="2837"/>
      <c r="H91" s="2837"/>
      <c r="I91" s="2837"/>
      <c r="J91" s="2883"/>
      <c r="K91" s="2884"/>
      <c r="L91" s="2884"/>
      <c r="M91" s="2884"/>
      <c r="N91" s="2884"/>
    </row>
    <row r="92" spans="1:37">
      <c r="A92" s="3296"/>
      <c r="B92" s="3296"/>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297"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9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9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9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9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9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98"/>
      <c r="B99" s="2885" t="s">
        <v>2847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9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97" t="s">
        <v>2969</v>
      </c>
      <c r="B101" s="2889" t="s">
        <v>2970</v>
      </c>
      <c r="C101" s="2890">
        <f>$G$3</f>
        <v>3.58</v>
      </c>
      <c r="D101" s="2890">
        <f t="shared" ref="D101:N101" si="31">$G$3</f>
        <v>3.58</v>
      </c>
      <c r="E101" s="2890">
        <f t="shared" si="31"/>
        <v>3.58</v>
      </c>
      <c r="F101" s="2890">
        <f t="shared" si="31"/>
        <v>3.58</v>
      </c>
      <c r="G101" s="2890">
        <f t="shared" si="31"/>
        <v>3.58</v>
      </c>
      <c r="H101" s="2890">
        <f t="shared" si="31"/>
        <v>3.58</v>
      </c>
      <c r="I101" s="2890">
        <f t="shared" si="31"/>
        <v>3.58</v>
      </c>
      <c r="J101" s="2890">
        <f t="shared" si="31"/>
        <v>3.58</v>
      </c>
      <c r="K101" s="2890">
        <f t="shared" si="31"/>
        <v>3.58</v>
      </c>
      <c r="L101" s="2890">
        <f t="shared" si="31"/>
        <v>3.58</v>
      </c>
      <c r="M101" s="2890">
        <f t="shared" si="31"/>
        <v>3.58</v>
      </c>
      <c r="N101" s="2890">
        <f t="shared" si="31"/>
        <v>3.58</v>
      </c>
    </row>
    <row r="102" spans="1:14">
      <c r="A102" s="3298"/>
      <c r="B102" s="2885">
        <v>1</v>
      </c>
      <c r="C102" s="2886">
        <f>1.9362/C101</f>
        <v>0.54083798882681566</v>
      </c>
      <c r="D102" s="2886">
        <f>1.9362/D101</f>
        <v>0.54083798882681566</v>
      </c>
      <c r="E102" s="2886">
        <f>1.8629/E101</f>
        <v>0.52036312849162014</v>
      </c>
      <c r="F102" s="2886">
        <f>1.8629/F101</f>
        <v>0.52036312849162014</v>
      </c>
      <c r="G102" s="2886">
        <f>1.8629/G101</f>
        <v>0.52036312849162014</v>
      </c>
      <c r="H102" s="2886">
        <f>1.8629/H101</f>
        <v>0.52036312849162014</v>
      </c>
      <c r="I102" s="2886">
        <f>1.8629/I101</f>
        <v>0.52036312849162014</v>
      </c>
      <c r="J102" s="2886">
        <f>1.942/J101</f>
        <v>0.54245810055865917</v>
      </c>
      <c r="K102" s="2886">
        <f>1.942/K101</f>
        <v>0.54245810055865917</v>
      </c>
      <c r="L102" s="2886">
        <f>1.942/L101</f>
        <v>0.54245810055865917</v>
      </c>
      <c r="M102" s="2886">
        <f>1.942/M101</f>
        <v>0.54245810055865917</v>
      </c>
      <c r="N102" s="2886">
        <f>1.942/N101</f>
        <v>0.54245810055865917</v>
      </c>
    </row>
    <row r="103" spans="1:14">
      <c r="A103" s="3298"/>
      <c r="B103" s="2885">
        <v>2</v>
      </c>
      <c r="C103" s="2886">
        <f>1.4198/C101</f>
        <v>0.39659217877094971</v>
      </c>
      <c r="D103" s="2886">
        <f>1.4198/D101</f>
        <v>0.39659217877094971</v>
      </c>
      <c r="E103" s="2886">
        <f>1.3372/E101</f>
        <v>0.37351955307262569</v>
      </c>
      <c r="F103" s="2886">
        <f>1.3372/F101</f>
        <v>0.37351955307262569</v>
      </c>
      <c r="G103" s="2886">
        <f>1.3372/G101</f>
        <v>0.37351955307262569</v>
      </c>
      <c r="H103" s="2886">
        <f>1.3372/H101</f>
        <v>0.37351955307262569</v>
      </c>
      <c r="I103" s="2886">
        <f>1.3372/I101</f>
        <v>0.37351955307262569</v>
      </c>
      <c r="J103" s="2886">
        <f>1.2799/J101</f>
        <v>0.35751396648044692</v>
      </c>
      <c r="K103" s="2886">
        <f>1.2799/K101</f>
        <v>0.35751396648044692</v>
      </c>
      <c r="L103" s="2886">
        <f>1.2799/L101</f>
        <v>0.35751396648044692</v>
      </c>
      <c r="M103" s="2886">
        <f>1.2799/M101</f>
        <v>0.35751396648044692</v>
      </c>
      <c r="N103" s="2886">
        <f>1.2799/N101</f>
        <v>0.35751396648044692</v>
      </c>
    </row>
    <row r="104" spans="1:14">
      <c r="A104" s="3298"/>
      <c r="B104" s="2885">
        <v>3</v>
      </c>
      <c r="C104" s="2886">
        <f>1.1594/C101</f>
        <v>0.32385474860335195</v>
      </c>
      <c r="D104" s="2886">
        <f>1.1594/D101</f>
        <v>0.32385474860335195</v>
      </c>
      <c r="E104" s="2886">
        <f>1.0788/E101</f>
        <v>0.30134078212290499</v>
      </c>
      <c r="F104" s="2886">
        <f>1.0788/F101</f>
        <v>0.30134078212290499</v>
      </c>
      <c r="G104" s="2886">
        <f>1.0788/G101</f>
        <v>0.30134078212290499</v>
      </c>
      <c r="H104" s="2886">
        <f>1.0788/H101</f>
        <v>0.30134078212290499</v>
      </c>
      <c r="I104" s="2886">
        <f>1.0788/I101</f>
        <v>0.30134078212290499</v>
      </c>
      <c r="J104" s="2886">
        <f>1.0072/J101</f>
        <v>0.28134078212290503</v>
      </c>
      <c r="K104" s="2886">
        <f>1.0072/K101</f>
        <v>0.28134078212290503</v>
      </c>
      <c r="L104" s="2886">
        <f>1.0072/L101</f>
        <v>0.28134078212290503</v>
      </c>
      <c r="M104" s="2886">
        <f>1.0072/M101</f>
        <v>0.28134078212290503</v>
      </c>
      <c r="N104" s="2886">
        <f>1.0072/N101</f>
        <v>0.28134078212290503</v>
      </c>
    </row>
    <row r="105" spans="1:14">
      <c r="A105" s="3298"/>
      <c r="B105" s="2885">
        <v>4</v>
      </c>
      <c r="C105" s="2886">
        <f>0.9622/C101</f>
        <v>0.26877094972067039</v>
      </c>
      <c r="D105" s="2886">
        <f>0.9622/D101</f>
        <v>0.26877094972067039</v>
      </c>
      <c r="E105" s="2886">
        <f>0.8656/E101</f>
        <v>0.24178770949720671</v>
      </c>
      <c r="F105" s="2886">
        <f>0.8656/F101</f>
        <v>0.24178770949720671</v>
      </c>
      <c r="G105" s="2886">
        <f>0.8656/G101</f>
        <v>0.24178770949720671</v>
      </c>
      <c r="H105" s="2886">
        <f>0.8656/H101</f>
        <v>0.24178770949720671</v>
      </c>
      <c r="I105" s="2886">
        <f>0.8656/I101</f>
        <v>0.24178770949720671</v>
      </c>
      <c r="J105" s="2886">
        <f>0.7525/J101</f>
        <v>0.21019553072625696</v>
      </c>
      <c r="K105" s="2886">
        <f>0.7525/K101</f>
        <v>0.21019553072625696</v>
      </c>
      <c r="L105" s="2886">
        <f>0.7525/L101</f>
        <v>0.21019553072625696</v>
      </c>
      <c r="M105" s="2886">
        <f>0.7525/M101</f>
        <v>0.21019553072625696</v>
      </c>
      <c r="N105" s="2886">
        <f>0.7525/N101</f>
        <v>0.21019553072625696</v>
      </c>
    </row>
    <row r="106" spans="1:14">
      <c r="A106" s="3298"/>
      <c r="B106" s="2885">
        <v>5</v>
      </c>
      <c r="C106" s="2886">
        <f>0.8417/C101</f>
        <v>0.23511173184357542</v>
      </c>
      <c r="D106" s="2886">
        <f>0.8417/D101</f>
        <v>0.23511173184357542</v>
      </c>
      <c r="E106" s="2886">
        <f>0.7371/E101</f>
        <v>0.20589385474860333</v>
      </c>
      <c r="F106" s="2886">
        <f>0.7371/F101</f>
        <v>0.20589385474860333</v>
      </c>
      <c r="G106" s="2886">
        <f>0.7371/G101</f>
        <v>0.20589385474860333</v>
      </c>
      <c r="H106" s="2886">
        <f>0.7371/H101</f>
        <v>0.20589385474860333</v>
      </c>
      <c r="I106" s="2886">
        <f>0.7371/I101</f>
        <v>0.20589385474860333</v>
      </c>
      <c r="J106" s="2886">
        <f>0.5659/J101</f>
        <v>0.158072625698324</v>
      </c>
      <c r="K106" s="2886">
        <f>0.5659/K101</f>
        <v>0.158072625698324</v>
      </c>
      <c r="L106" s="2886">
        <f>0.5659/L101</f>
        <v>0.158072625698324</v>
      </c>
      <c r="M106" s="2886">
        <f>0.5659/M101</f>
        <v>0.158072625698324</v>
      </c>
      <c r="N106" s="2886">
        <f>0.5659/N101</f>
        <v>0.158072625698324</v>
      </c>
    </row>
    <row r="107" spans="1:14">
      <c r="A107" s="3298"/>
      <c r="B107" s="2885">
        <v>6</v>
      </c>
      <c r="C107" s="2886">
        <f>0.7608/C101</f>
        <v>0.21251396648044693</v>
      </c>
      <c r="D107" s="2886">
        <f>0.7608/D101</f>
        <v>0.21251396648044693</v>
      </c>
      <c r="E107" s="2886">
        <f>0.6482/E101</f>
        <v>0.18106145251396646</v>
      </c>
      <c r="F107" s="2886">
        <f>0.6482/F101</f>
        <v>0.18106145251396646</v>
      </c>
      <c r="G107" s="2886">
        <f>0.6482/G101</f>
        <v>0.18106145251396646</v>
      </c>
      <c r="H107" s="2886">
        <f>0.6482/H101</f>
        <v>0.18106145251396646</v>
      </c>
      <c r="I107" s="2886">
        <f>0.6482/I101</f>
        <v>0.18106145251396646</v>
      </c>
      <c r="J107" s="2886">
        <f>0.4525/J101</f>
        <v>0.12639664804469275</v>
      </c>
      <c r="K107" s="2886">
        <f>0.4525/K101</f>
        <v>0.12639664804469275</v>
      </c>
      <c r="L107" s="2886">
        <f>0.4525/L101</f>
        <v>0.12639664804469275</v>
      </c>
      <c r="M107" s="2886">
        <f>0.4525/M101</f>
        <v>0.12639664804469275</v>
      </c>
      <c r="N107" s="2886">
        <f>0.4525/N101</f>
        <v>0.12639664804469275</v>
      </c>
    </row>
    <row r="108" spans="1:14">
      <c r="A108" s="3298"/>
      <c r="B108" s="3153" t="s">
        <v>2971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99"/>
      <c r="B109" s="3154"/>
      <c r="C109" s="2888">
        <f>(-0.163*(C108^2)-0.59*C108+7617)*(10^(-4))/C101</f>
        <v>0.21276536312849162</v>
      </c>
      <c r="D109" s="2888">
        <f>(-0.163*(D108^2)-0.59*D108+7617)*(10^(-4))/D101</f>
        <v>0.21276536312849162</v>
      </c>
      <c r="E109" s="2888">
        <f>(-0.161*(E108^2)-7.509*E108+6533)*(10^(-4))/E101</f>
        <v>0.18248603351955306</v>
      </c>
      <c r="F109" s="2888">
        <f>(-0.161*(F108^2)-7.509*F108+6533)*(10^(-4))/F101</f>
        <v>0.18248603351955306</v>
      </c>
      <c r="G109" s="2888">
        <f>(-0.161*(G108^2)-7.509*G108+6533)*(10^(-4))/G101</f>
        <v>0.18248603351955306</v>
      </c>
      <c r="H109" s="2888">
        <f>(-0.161*(H108^2)-7.509*H108+6533)*(10^(-4))/H101</f>
        <v>0.18248603351955306</v>
      </c>
      <c r="I109" s="2888">
        <f>(-0.161*(I108^2)-7.509*I108+6533)*(10^(-4))/I101</f>
        <v>0.18248603351955306</v>
      </c>
      <c r="J109" s="2888">
        <f>(-0.214*(J108^2)-21.991*J108+4665)*(10^(-4))/J101</f>
        <v>0.13030726256983241</v>
      </c>
      <c r="K109" s="2888">
        <f>(-0.214*(K108^2)-21.991*K108+4665)*(10^(-4))/K101</f>
        <v>0.13030726256983241</v>
      </c>
      <c r="L109" s="2888">
        <f>(-0.214*(L108^2)-21.991*L108+4665)*(10^(-4))/L101</f>
        <v>0.13030726256983241</v>
      </c>
      <c r="M109" s="2888">
        <f>(-0.214*(M108^2)-21.991*M108+4665)*(10^(-4))/M101</f>
        <v>0.13030726256983241</v>
      </c>
      <c r="N109" s="2888">
        <f>(-0.214*(N108^2)-21.991*N108+4665)*(10^(-4))/N101</f>
        <v>0.13030726256983241</v>
      </c>
    </row>
    <row r="110" spans="1:14">
      <c r="A110" s="3295" t="s">
        <v>2972</v>
      </c>
      <c r="B110" s="3295"/>
      <c r="C110" s="3295"/>
      <c r="D110" s="3295"/>
      <c r="E110" s="3295"/>
      <c r="F110" s="3295"/>
      <c r="G110" s="3295"/>
      <c r="H110" s="3295"/>
      <c r="I110" s="3295"/>
      <c r="J110" s="3295"/>
      <c r="K110" s="2891"/>
      <c r="L110" s="2891"/>
      <c r="M110" s="2891"/>
      <c r="N110" s="2891"/>
    </row>
    <row r="112" spans="1:14" ht="13.5" thickBot="1"/>
    <row r="113" spans="1:13" ht="25.5" thickBot="1">
      <c r="A113" s="898" t="s">
        <v>2973</v>
      </c>
      <c r="B113" s="1285">
        <f>G3</f>
        <v>3.58</v>
      </c>
      <c r="C113" s="899" t="s">
        <v>2974</v>
      </c>
      <c r="D113" s="900">
        <f>SUMPRODUCT((A115:A118=F113)*(B114:M114=H113)*B115:M118)</f>
        <v>0</v>
      </c>
      <c r="E113" s="2714" t="s">
        <v>2804</v>
      </c>
      <c r="F113" s="2893">
        <f>E2</f>
        <v>0</v>
      </c>
      <c r="G113" s="2714" t="s">
        <v>2805</v>
      </c>
      <c r="H113" s="2893">
        <f>G2</f>
        <v>0</v>
      </c>
      <c r="I113" s="2714"/>
      <c r="J113" s="2894"/>
      <c r="K113" s="2894"/>
      <c r="L113" s="2894"/>
      <c r="M113" s="2894"/>
    </row>
    <row r="114" spans="1:13">
      <c r="A114" s="903"/>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4" t="s">
        <v>2869</v>
      </c>
      <c r="B115" s="905">
        <f>ROUND(0.9335-0.0094*B113,4)</f>
        <v>0.89980000000000004</v>
      </c>
      <c r="C115" s="905">
        <f>B115</f>
        <v>0.89980000000000004</v>
      </c>
      <c r="D115" s="905">
        <f>ROUND(0.8331-0.0109*B113,4)</f>
        <v>0.79410000000000003</v>
      </c>
      <c r="E115" s="905">
        <f>D115</f>
        <v>0.79410000000000003</v>
      </c>
      <c r="F115" s="905">
        <f>E115</f>
        <v>0.79410000000000003</v>
      </c>
      <c r="G115" s="905">
        <f>F115</f>
        <v>0.79410000000000003</v>
      </c>
      <c r="H115" s="905">
        <f>G115</f>
        <v>0.79410000000000003</v>
      </c>
      <c r="I115" s="905">
        <f>ROUND(0.689-0.0155*B113,4)</f>
        <v>0.63349999999999995</v>
      </c>
      <c r="J115" s="905">
        <f t="shared" ref="J115:M118" si="33">I115</f>
        <v>0.63349999999999995</v>
      </c>
      <c r="K115" s="905">
        <f t="shared" si="33"/>
        <v>0.63349999999999995</v>
      </c>
      <c r="L115" s="905">
        <f t="shared" si="33"/>
        <v>0.63349999999999995</v>
      </c>
      <c r="M115" s="906">
        <f t="shared" si="33"/>
        <v>0.63349999999999995</v>
      </c>
    </row>
    <row r="116" spans="1:13">
      <c r="A116" s="904" t="s">
        <v>2870</v>
      </c>
      <c r="B116" s="905">
        <f>ROUND(0.949-0.012*B113,4)</f>
        <v>0.90600000000000003</v>
      </c>
      <c r="C116" s="905">
        <f>B116</f>
        <v>0.90600000000000003</v>
      </c>
      <c r="D116" s="905">
        <f>ROUND(0.8567-0.013*B113,4)</f>
        <v>0.81020000000000003</v>
      </c>
      <c r="E116" s="905">
        <f t="shared" ref="E116:H117" si="34">D116</f>
        <v>0.81020000000000003</v>
      </c>
      <c r="F116" s="905">
        <f t="shared" si="34"/>
        <v>0.81020000000000003</v>
      </c>
      <c r="G116" s="905">
        <f t="shared" si="34"/>
        <v>0.81020000000000003</v>
      </c>
      <c r="H116" s="905">
        <f t="shared" si="34"/>
        <v>0.81020000000000003</v>
      </c>
      <c r="I116" s="905">
        <f>ROUND(0.7694-0.014*B113,4)</f>
        <v>0.71930000000000005</v>
      </c>
      <c r="J116" s="905">
        <f t="shared" si="33"/>
        <v>0.71930000000000005</v>
      </c>
      <c r="K116" s="905">
        <f t="shared" si="33"/>
        <v>0.71930000000000005</v>
      </c>
      <c r="L116" s="905">
        <f t="shared" si="33"/>
        <v>0.71930000000000005</v>
      </c>
      <c r="M116" s="906">
        <f t="shared" si="33"/>
        <v>0.71930000000000005</v>
      </c>
    </row>
    <row r="117" spans="1:13">
      <c r="A117" s="904" t="s">
        <v>2871</v>
      </c>
      <c r="B117" s="905">
        <f>ROUND(0.8808-0.006*B113,4)</f>
        <v>0.85929999999999995</v>
      </c>
      <c r="C117" s="905">
        <f>B117</f>
        <v>0.85929999999999995</v>
      </c>
      <c r="D117" s="905">
        <f>ROUND(0.8748-0.008*B113,4)</f>
        <v>0.84619999999999995</v>
      </c>
      <c r="E117" s="905">
        <f t="shared" si="34"/>
        <v>0.84619999999999995</v>
      </c>
      <c r="F117" s="905">
        <f t="shared" si="34"/>
        <v>0.84619999999999995</v>
      </c>
      <c r="G117" s="905">
        <f t="shared" si="34"/>
        <v>0.84619999999999995</v>
      </c>
      <c r="H117" s="905">
        <f t="shared" si="34"/>
        <v>0.84619999999999995</v>
      </c>
      <c r="I117" s="905">
        <f>ROUND(0.7412-0.0095*B113,4)</f>
        <v>0.70720000000000005</v>
      </c>
      <c r="J117" s="905">
        <f t="shared" si="33"/>
        <v>0.70720000000000005</v>
      </c>
      <c r="K117" s="905">
        <f t="shared" si="33"/>
        <v>0.70720000000000005</v>
      </c>
      <c r="L117" s="905">
        <f t="shared" si="33"/>
        <v>0.70720000000000005</v>
      </c>
      <c r="M117" s="906">
        <f t="shared" si="33"/>
        <v>0.70720000000000005</v>
      </c>
    </row>
    <row r="118" spans="1:13" ht="13.5" thickBot="1">
      <c r="A118" s="713" t="s">
        <v>2872</v>
      </c>
      <c r="B118" s="907">
        <f>ROUND(0.7275-0.01*B113,4)</f>
        <v>0.69169999999999998</v>
      </c>
      <c r="C118" s="907">
        <f>B118</f>
        <v>0.69169999999999998</v>
      </c>
      <c r="D118" s="907">
        <f>ROUND(0.7043-0.012*B113,4)</f>
        <v>0.6613</v>
      </c>
      <c r="E118" s="907">
        <f>D118</f>
        <v>0.6613</v>
      </c>
      <c r="F118" s="907">
        <f>E118</f>
        <v>0.6613</v>
      </c>
      <c r="G118" s="907">
        <f>ROUND(0.6299-0.0122*B113,4)</f>
        <v>0.58620000000000005</v>
      </c>
      <c r="H118" s="907">
        <f>G118</f>
        <v>0.58620000000000005</v>
      </c>
      <c r="I118" s="907">
        <f>ROUND(0.5667-0.0136*B113,4)</f>
        <v>0.51800000000000002</v>
      </c>
      <c r="J118" s="907">
        <f t="shared" si="33"/>
        <v>0.51800000000000002</v>
      </c>
      <c r="K118" s="907">
        <f t="shared" si="33"/>
        <v>0.51800000000000002</v>
      </c>
      <c r="L118" s="907">
        <f t="shared" si="33"/>
        <v>0.51800000000000002</v>
      </c>
      <c r="M118" s="908">
        <f t="shared" si="33"/>
        <v>0.51800000000000002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3" t="s">
        <v>183</v>
      </c>
      <c r="B18" s="877" t="s">
        <v>560</v>
      </c>
      <c r="C18" s="878" t="s">
        <v>561</v>
      </c>
      <c r="D18" s="879"/>
      <c r="E18" s="877">
        <v>1</v>
      </c>
      <c r="F18" s="880" t="s">
        <v>562</v>
      </c>
      <c r="G18" s="881"/>
      <c r="H18" s="873"/>
      <c r="I18" s="873"/>
    </row>
    <row r="19" spans="1:9" s="882" customFormat="1" ht="19.5" customHeight="1">
      <c r="A19" s="3303"/>
      <c r="B19" s="3303" t="s">
        <v>563</v>
      </c>
      <c r="C19" s="878" t="s">
        <v>564</v>
      </c>
      <c r="D19" s="879"/>
      <c r="E19" s="877">
        <v>0.9</v>
      </c>
      <c r="F19" s="880" t="s">
        <v>565</v>
      </c>
      <c r="G19" s="881"/>
      <c r="H19" s="873"/>
      <c r="I19" s="873"/>
    </row>
    <row r="20" spans="1:9" s="882" customFormat="1" ht="19.5" customHeight="1">
      <c r="A20" s="3303"/>
      <c r="B20" s="3303"/>
      <c r="C20" s="878" t="s">
        <v>566</v>
      </c>
      <c r="D20" s="879"/>
      <c r="E20" s="877">
        <v>1.1000000000000001</v>
      </c>
      <c r="F20" s="880" t="s">
        <v>567</v>
      </c>
      <c r="G20" s="881"/>
      <c r="H20" s="873"/>
      <c r="I20" s="873"/>
    </row>
    <row r="21" spans="1:9" s="882" customFormat="1" ht="19.5" customHeight="1">
      <c r="A21" s="3303"/>
      <c r="B21" s="3303"/>
      <c r="C21" s="878" t="s">
        <v>568</v>
      </c>
      <c r="D21" s="879"/>
      <c r="E21" s="877">
        <v>0.8</v>
      </c>
      <c r="F21" s="880" t="s">
        <v>569</v>
      </c>
      <c r="G21" s="881"/>
      <c r="H21" s="873"/>
      <c r="I21" s="873"/>
    </row>
    <row r="22" spans="1:9" s="882" customFormat="1" ht="19.5" customHeight="1">
      <c r="A22" s="3303"/>
      <c r="B22" s="3303"/>
      <c r="C22" s="878" t="s">
        <v>570</v>
      </c>
      <c r="D22" s="879"/>
      <c r="E22" s="877">
        <v>0.5</v>
      </c>
      <c r="F22" s="880"/>
      <c r="G22" s="881"/>
      <c r="H22" s="873"/>
      <c r="I22" s="873"/>
    </row>
    <row r="23" spans="1:9" s="882" customFormat="1" ht="19.5" customHeight="1">
      <c r="A23" s="3303" t="s">
        <v>184</v>
      </c>
      <c r="B23" s="877" t="s">
        <v>560</v>
      </c>
      <c r="C23" s="878" t="s">
        <v>571</v>
      </c>
      <c r="D23" s="879"/>
      <c r="E23" s="877">
        <v>1</v>
      </c>
      <c r="F23" s="880" t="s">
        <v>572</v>
      </c>
      <c r="G23" s="881"/>
      <c r="H23" s="873"/>
      <c r="I23" s="873"/>
    </row>
    <row r="24" spans="1:9" s="882" customFormat="1" ht="19.5" customHeight="1">
      <c r="A24" s="3303"/>
      <c r="B24" s="3303" t="s">
        <v>563</v>
      </c>
      <c r="C24" s="878" t="s">
        <v>573</v>
      </c>
      <c r="D24" s="879"/>
      <c r="E24" s="877">
        <v>0.5</v>
      </c>
      <c r="F24" s="880"/>
      <c r="G24" s="881"/>
      <c r="H24" s="873"/>
      <c r="I24" s="873"/>
    </row>
    <row r="25" spans="1:9" s="882" customFormat="1" ht="19.5" customHeight="1">
      <c r="A25" s="3303"/>
      <c r="B25" s="3303"/>
      <c r="C25" s="878" t="s">
        <v>574</v>
      </c>
      <c r="D25" s="879"/>
      <c r="E25" s="877">
        <v>1.1000000000000001</v>
      </c>
      <c r="F25" s="880"/>
      <c r="G25" s="881"/>
      <c r="H25" s="873"/>
      <c r="I25" s="873"/>
    </row>
    <row r="26" spans="1:9" s="882" customFormat="1" ht="19.5" customHeight="1">
      <c r="A26" s="3303"/>
      <c r="B26" s="3303"/>
      <c r="C26" s="878" t="s">
        <v>575</v>
      </c>
      <c r="D26" s="879"/>
      <c r="E26" s="877">
        <v>1.1000000000000001</v>
      </c>
      <c r="F26" s="880"/>
      <c r="G26" s="881"/>
      <c r="H26" s="873"/>
      <c r="I26" s="873"/>
    </row>
    <row r="27" spans="1:9" s="882" customFormat="1" ht="19.5" customHeight="1">
      <c r="A27" s="3303"/>
      <c r="B27" s="3303"/>
      <c r="C27" s="878" t="s">
        <v>576</v>
      </c>
      <c r="D27" s="879"/>
      <c r="E27" s="877">
        <v>0.9</v>
      </c>
      <c r="F27" s="880" t="s">
        <v>577</v>
      </c>
      <c r="G27" s="881"/>
      <c r="H27" s="873"/>
      <c r="I27" s="873"/>
    </row>
    <row r="28" spans="1:9" s="882" customFormat="1" ht="19.5" customHeight="1">
      <c r="A28" s="3303"/>
      <c r="B28" s="3303"/>
      <c r="C28" s="878" t="s">
        <v>578</v>
      </c>
      <c r="D28" s="879"/>
      <c r="E28" s="877">
        <v>0.9</v>
      </c>
      <c r="F28" s="880" t="s">
        <v>579</v>
      </c>
      <c r="G28" s="881"/>
      <c r="H28" s="873"/>
      <c r="I28" s="873"/>
    </row>
    <row r="29" spans="1:9" s="882" customFormat="1" ht="19.5" customHeight="1">
      <c r="A29" s="3303"/>
      <c r="B29" s="3303"/>
      <c r="C29" s="878" t="s">
        <v>580</v>
      </c>
      <c r="D29" s="879"/>
      <c r="E29" s="877">
        <v>0.9</v>
      </c>
      <c r="F29" s="880" t="s">
        <v>581</v>
      </c>
      <c r="G29" s="881"/>
      <c r="H29" s="873"/>
      <c r="I29" s="873"/>
    </row>
    <row r="30" spans="1:9" s="882" customFormat="1" ht="19.5" customHeight="1">
      <c r="A30" s="3303"/>
      <c r="B30" s="3303"/>
      <c r="C30" s="878" t="s">
        <v>582</v>
      </c>
      <c r="D30" s="879"/>
      <c r="E30" s="877">
        <v>0.9</v>
      </c>
      <c r="F30" s="880" t="s">
        <v>583</v>
      </c>
      <c r="G30" s="881"/>
      <c r="H30" s="873"/>
      <c r="I30" s="873"/>
    </row>
    <row r="31" spans="1:9" s="882" customFormat="1" ht="19.5" customHeight="1">
      <c r="A31" s="3303"/>
      <c r="B31" s="3303"/>
      <c r="C31" s="878" t="s">
        <v>584</v>
      </c>
      <c r="D31" s="879"/>
      <c r="E31" s="877">
        <v>0.8</v>
      </c>
      <c r="F31" s="880" t="s">
        <v>585</v>
      </c>
      <c r="G31" s="881"/>
      <c r="H31" s="873"/>
      <c r="I31" s="873"/>
    </row>
    <row r="32" spans="1:9" s="882" customFormat="1" ht="19.5" customHeight="1">
      <c r="A32" s="3303"/>
      <c r="B32" s="3303"/>
      <c r="C32" s="878" t="s">
        <v>586</v>
      </c>
      <c r="D32" s="879"/>
      <c r="E32" s="877">
        <v>0.8</v>
      </c>
      <c r="F32" s="880" t="s">
        <v>587</v>
      </c>
      <c r="G32" s="881"/>
      <c r="H32" s="873"/>
      <c r="I32" s="873"/>
    </row>
    <row r="33" spans="1:9" s="882" customFormat="1" ht="19.5" customHeight="1">
      <c r="A33" s="3303" t="s">
        <v>185</v>
      </c>
      <c r="B33" s="877" t="s">
        <v>560</v>
      </c>
      <c r="C33" s="878" t="s">
        <v>588</v>
      </c>
      <c r="D33" s="879"/>
      <c r="E33" s="877">
        <v>1</v>
      </c>
      <c r="F33" s="880" t="s">
        <v>589</v>
      </c>
      <c r="G33" s="881"/>
      <c r="H33" s="873"/>
      <c r="I33" s="873"/>
    </row>
    <row r="34" spans="1:9" s="882" customFormat="1" ht="19.5" customHeight="1">
      <c r="A34" s="3303"/>
      <c r="B34" s="877" t="s">
        <v>563</v>
      </c>
      <c r="C34" s="878" t="s">
        <v>590</v>
      </c>
      <c r="D34" s="879"/>
      <c r="E34" s="877">
        <v>1.5</v>
      </c>
      <c r="F34" s="880" t="s">
        <v>591</v>
      </c>
      <c r="G34" s="881"/>
      <c r="H34" s="873"/>
      <c r="I34" s="873"/>
    </row>
    <row r="35" spans="1:9" s="882" customFormat="1" ht="19.5" customHeight="1">
      <c r="A35" s="3303" t="s">
        <v>186</v>
      </c>
      <c r="B35" s="877" t="s">
        <v>560</v>
      </c>
      <c r="C35" s="878" t="s">
        <v>592</v>
      </c>
      <c r="D35" s="879"/>
      <c r="E35" s="877">
        <v>1</v>
      </c>
      <c r="F35" s="880" t="s">
        <v>593</v>
      </c>
      <c r="G35" s="881"/>
      <c r="H35" s="873"/>
      <c r="I35" s="873"/>
    </row>
    <row r="36" spans="1:9" s="882" customFormat="1" ht="19.5" customHeight="1">
      <c r="A36" s="3303"/>
      <c r="B36" s="3303" t="s">
        <v>563</v>
      </c>
      <c r="C36" s="878" t="s">
        <v>594</v>
      </c>
      <c r="D36" s="879"/>
      <c r="E36" s="877">
        <v>1</v>
      </c>
      <c r="F36" s="880" t="s">
        <v>595</v>
      </c>
      <c r="G36" s="881"/>
      <c r="H36" s="873"/>
      <c r="I36" s="873"/>
    </row>
    <row r="37" spans="1:9" s="882" customFormat="1" ht="19.5" customHeight="1">
      <c r="A37" s="3303"/>
      <c r="B37" s="3303"/>
      <c r="C37" s="878" t="s">
        <v>596</v>
      </c>
      <c r="D37" s="879"/>
      <c r="E37" s="877">
        <v>1.5</v>
      </c>
      <c r="F37" s="880" t="s">
        <v>597</v>
      </c>
      <c r="G37" s="881"/>
      <c r="H37" s="873"/>
      <c r="I37" s="873"/>
    </row>
    <row r="38" spans="1:9" s="882" customFormat="1" ht="19.5" customHeight="1">
      <c r="A38" s="3303"/>
      <c r="B38" s="3303"/>
      <c r="C38" s="878" t="s">
        <v>598</v>
      </c>
      <c r="D38" s="879"/>
      <c r="E38" s="877">
        <v>1</v>
      </c>
      <c r="F38" s="880" t="s">
        <v>599</v>
      </c>
      <c r="G38" s="881"/>
      <c r="H38" s="873"/>
      <c r="I38" s="873"/>
    </row>
    <row r="39" spans="1:9" s="882" customFormat="1" ht="19.5" customHeight="1">
      <c r="A39" s="3303"/>
      <c r="B39" s="330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3" t="s">
        <v>614</v>
      </c>
      <c r="C61" s="813" t="s">
        <v>615</v>
      </c>
      <c r="D61" s="813" t="s">
        <v>616</v>
      </c>
      <c r="E61" s="890">
        <v>0.5</v>
      </c>
      <c r="F61" s="877">
        <v>80</v>
      </c>
    </row>
    <row r="62" spans="1:8" s="873" customFormat="1" ht="24">
      <c r="A62" s="877">
        <v>2</v>
      </c>
      <c r="B62" s="3303"/>
      <c r="C62" s="813" t="s">
        <v>617</v>
      </c>
      <c r="D62" s="813" t="s">
        <v>618</v>
      </c>
      <c r="E62" s="890">
        <v>0.5</v>
      </c>
      <c r="F62" s="877">
        <v>80</v>
      </c>
    </row>
    <row r="63" spans="1:8" s="873" customFormat="1" ht="36">
      <c r="A63" s="877">
        <v>3</v>
      </c>
      <c r="B63" s="3303"/>
      <c r="C63" s="813" t="s">
        <v>619</v>
      </c>
      <c r="D63" s="813" t="s">
        <v>620</v>
      </c>
      <c r="E63" s="890">
        <v>0.5</v>
      </c>
      <c r="F63" s="877">
        <v>80</v>
      </c>
    </row>
    <row r="64" spans="1:8" s="873" customFormat="1" ht="36">
      <c r="A64" s="877">
        <v>4</v>
      </c>
      <c r="B64" s="3303"/>
      <c r="C64" s="813" t="s">
        <v>621</v>
      </c>
      <c r="D64" s="813" t="s">
        <v>622</v>
      </c>
      <c r="E64" s="890">
        <v>0.4</v>
      </c>
      <c r="F64" s="877">
        <v>60</v>
      </c>
    </row>
    <row r="65" spans="1:6" s="873" customFormat="1" ht="36">
      <c r="A65" s="877">
        <v>5</v>
      </c>
      <c r="B65" s="3303"/>
      <c r="C65" s="813" t="s">
        <v>623</v>
      </c>
      <c r="D65" s="813" t="s">
        <v>624</v>
      </c>
      <c r="E65" s="890">
        <v>0.2</v>
      </c>
      <c r="F65" s="877">
        <v>30</v>
      </c>
    </row>
    <row r="66" spans="1:6" s="873" customFormat="1" ht="36">
      <c r="A66" s="877">
        <v>6</v>
      </c>
      <c r="B66" s="3303"/>
      <c r="C66" s="813" t="s">
        <v>625</v>
      </c>
      <c r="D66" s="813" t="s">
        <v>626</v>
      </c>
      <c r="E66" s="890">
        <v>0.3</v>
      </c>
      <c r="F66" s="877">
        <v>50</v>
      </c>
    </row>
    <row r="67" spans="1:6" s="873" customFormat="1" ht="36">
      <c r="A67" s="877">
        <v>7</v>
      </c>
      <c r="B67" s="3303"/>
      <c r="C67" s="813" t="s">
        <v>627</v>
      </c>
      <c r="D67" s="813" t="s">
        <v>628</v>
      </c>
      <c r="E67" s="890">
        <v>0.2</v>
      </c>
      <c r="F67" s="877">
        <v>30</v>
      </c>
    </row>
    <row r="68" spans="1:6" s="873" customFormat="1" ht="36">
      <c r="A68" s="877">
        <v>8</v>
      </c>
      <c r="B68" s="3303"/>
      <c r="C68" s="813" t="s">
        <v>629</v>
      </c>
      <c r="D68" s="813" t="s">
        <v>630</v>
      </c>
      <c r="E68" s="890">
        <v>0.2</v>
      </c>
      <c r="F68" s="877">
        <v>30</v>
      </c>
    </row>
    <row r="69" spans="1:6" s="873" customFormat="1" ht="36">
      <c r="A69" s="877">
        <v>9</v>
      </c>
      <c r="B69" s="3303"/>
      <c r="C69" s="813" t="s">
        <v>631</v>
      </c>
      <c r="D69" s="813" t="s">
        <v>632</v>
      </c>
      <c r="E69" s="890">
        <v>0.2</v>
      </c>
      <c r="F69" s="877">
        <v>30</v>
      </c>
    </row>
    <row r="70" spans="1:6" s="873" customFormat="1" ht="48">
      <c r="A70" s="877">
        <v>10</v>
      </c>
      <c r="B70" s="3303"/>
      <c r="C70" s="813" t="s">
        <v>633</v>
      </c>
      <c r="D70" s="813" t="s">
        <v>634</v>
      </c>
      <c r="E70" s="890">
        <v>0.2</v>
      </c>
      <c r="F70" s="877">
        <v>30</v>
      </c>
    </row>
    <row r="71" spans="1:6" s="873" customFormat="1" ht="48">
      <c r="A71" s="877">
        <v>11</v>
      </c>
      <c r="B71" s="3303"/>
      <c r="C71" s="813" t="s">
        <v>635</v>
      </c>
      <c r="D71" s="813" t="s">
        <v>636</v>
      </c>
      <c r="E71" s="890">
        <v>0.2</v>
      </c>
      <c r="F71" s="877">
        <v>30</v>
      </c>
    </row>
    <row r="72" spans="1:6" s="873" customFormat="1" ht="36">
      <c r="A72" s="877">
        <v>12</v>
      </c>
      <c r="B72" s="3303"/>
      <c r="C72" s="813" t="s">
        <v>637</v>
      </c>
      <c r="D72" s="813" t="s">
        <v>638</v>
      </c>
      <c r="E72" s="890">
        <v>0.5</v>
      </c>
      <c r="F72" s="877">
        <v>80</v>
      </c>
    </row>
    <row r="73" spans="1:6" s="873" customFormat="1" ht="24">
      <c r="A73" s="877">
        <v>13</v>
      </c>
      <c r="B73" s="3303"/>
      <c r="C73" s="813" t="s">
        <v>639</v>
      </c>
      <c r="D73" s="813" t="s">
        <v>640</v>
      </c>
      <c r="E73" s="890">
        <v>0.4</v>
      </c>
      <c r="F73" s="877">
        <v>60</v>
      </c>
    </row>
    <row r="74" spans="1:6" s="873" customFormat="1" ht="24">
      <c r="A74" s="877">
        <v>14</v>
      </c>
      <c r="B74" s="3303"/>
      <c r="C74" s="813" t="s">
        <v>641</v>
      </c>
      <c r="D74" s="813" t="s">
        <v>642</v>
      </c>
      <c r="E74" s="890">
        <v>0.2</v>
      </c>
      <c r="F74" s="877">
        <v>30</v>
      </c>
    </row>
    <row r="75" spans="1:6" s="873" customFormat="1" ht="24">
      <c r="A75" s="877">
        <v>15</v>
      </c>
      <c r="B75" s="3303"/>
      <c r="C75" s="813" t="s">
        <v>643</v>
      </c>
      <c r="D75" s="813" t="s">
        <v>644</v>
      </c>
      <c r="E75" s="890">
        <v>0.2</v>
      </c>
      <c r="F75" s="877">
        <v>30</v>
      </c>
    </row>
    <row r="76" spans="1:6" s="873" customFormat="1" ht="24">
      <c r="A76" s="877">
        <v>16</v>
      </c>
      <c r="B76" s="3303" t="s">
        <v>645</v>
      </c>
      <c r="C76" s="813" t="s">
        <v>646</v>
      </c>
      <c r="D76" s="813" t="s">
        <v>647</v>
      </c>
      <c r="E76" s="890">
        <v>0.5</v>
      </c>
      <c r="F76" s="877">
        <v>80</v>
      </c>
    </row>
    <row r="77" spans="1:6" s="873" customFormat="1" ht="24">
      <c r="A77" s="877">
        <v>17</v>
      </c>
      <c r="B77" s="3303"/>
      <c r="C77" s="813" t="s">
        <v>648</v>
      </c>
      <c r="D77" s="813" t="s">
        <v>649</v>
      </c>
      <c r="E77" s="890">
        <v>0.5</v>
      </c>
      <c r="F77" s="877">
        <v>80</v>
      </c>
    </row>
    <row r="78" spans="1:6" s="873" customFormat="1" ht="24">
      <c r="A78" s="877">
        <v>18</v>
      </c>
      <c r="B78" s="3303"/>
      <c r="C78" s="813" t="s">
        <v>650</v>
      </c>
      <c r="D78" s="813" t="s">
        <v>651</v>
      </c>
      <c r="E78" s="890">
        <v>0.2</v>
      </c>
      <c r="F78" s="877">
        <v>30</v>
      </c>
    </row>
    <row r="79" spans="1:6" s="873" customFormat="1" ht="24">
      <c r="A79" s="877">
        <v>19</v>
      </c>
      <c r="B79" s="3303"/>
      <c r="C79" s="813" t="s">
        <v>652</v>
      </c>
      <c r="D79" s="813" t="s">
        <v>653</v>
      </c>
      <c r="E79" s="890">
        <v>0.5</v>
      </c>
      <c r="F79" s="877">
        <v>80</v>
      </c>
    </row>
    <row r="80" spans="1:6" s="873" customFormat="1" ht="36">
      <c r="A80" s="877">
        <v>20</v>
      </c>
      <c r="B80" s="3303"/>
      <c r="C80" s="813" t="s">
        <v>654</v>
      </c>
      <c r="D80" s="813" t="s">
        <v>655</v>
      </c>
      <c r="E80" s="890">
        <v>0.2</v>
      </c>
      <c r="F80" s="877">
        <v>30</v>
      </c>
    </row>
    <row r="81" spans="1:6" s="873" customFormat="1" ht="36">
      <c r="A81" s="877">
        <v>21</v>
      </c>
      <c r="B81" s="3303"/>
      <c r="C81" s="813" t="s">
        <v>656</v>
      </c>
      <c r="D81" s="813" t="s">
        <v>657</v>
      </c>
      <c r="E81" s="890">
        <v>0.2</v>
      </c>
      <c r="F81" s="877">
        <v>30</v>
      </c>
    </row>
    <row r="82" spans="1:6" s="873" customFormat="1" ht="48">
      <c r="A82" s="877">
        <v>22</v>
      </c>
      <c r="B82" s="3303"/>
      <c r="C82" s="813" t="s">
        <v>658</v>
      </c>
      <c r="D82" s="813" t="s">
        <v>659</v>
      </c>
      <c r="E82" s="890">
        <v>0.2</v>
      </c>
      <c r="F82" s="877">
        <v>30</v>
      </c>
    </row>
    <row r="83" spans="1:6" s="873" customFormat="1" ht="48">
      <c r="A83" s="877">
        <v>23</v>
      </c>
      <c r="B83" s="3303"/>
      <c r="C83" s="813" t="s">
        <v>660</v>
      </c>
      <c r="D83" s="813" t="s">
        <v>661</v>
      </c>
      <c r="E83" s="890">
        <v>0.2</v>
      </c>
      <c r="F83" s="877">
        <v>30</v>
      </c>
    </row>
    <row r="84" spans="1:6" s="873" customFormat="1" ht="36">
      <c r="A84" s="877">
        <v>24</v>
      </c>
      <c r="B84" s="3303"/>
      <c r="C84" s="813" t="s">
        <v>662</v>
      </c>
      <c r="D84" s="813" t="s">
        <v>663</v>
      </c>
      <c r="E84" s="890">
        <v>0.2</v>
      </c>
      <c r="F84" s="877">
        <v>30</v>
      </c>
    </row>
    <row r="85" spans="1:6" s="873" customFormat="1" ht="36">
      <c r="A85" s="877">
        <v>25</v>
      </c>
      <c r="B85" s="3303"/>
      <c r="C85" s="813" t="s">
        <v>664</v>
      </c>
      <c r="D85" s="813" t="s">
        <v>665</v>
      </c>
      <c r="E85" s="890">
        <v>0.5</v>
      </c>
      <c r="F85" s="877">
        <v>80</v>
      </c>
    </row>
    <row r="86" spans="1:6" s="873" customFormat="1" ht="36">
      <c r="A86" s="877">
        <v>26</v>
      </c>
      <c r="B86" s="3303"/>
      <c r="C86" s="813" t="s">
        <v>666</v>
      </c>
      <c r="D86" s="813" t="s">
        <v>667</v>
      </c>
      <c r="E86" s="890">
        <v>0.2</v>
      </c>
      <c r="F86" s="877">
        <v>30</v>
      </c>
    </row>
    <row r="87" spans="1:6" s="873" customFormat="1" ht="36">
      <c r="A87" s="877">
        <v>27</v>
      </c>
      <c r="B87" s="3303"/>
      <c r="C87" s="813" t="s">
        <v>668</v>
      </c>
      <c r="D87" s="813" t="s">
        <v>669</v>
      </c>
      <c r="E87" s="890">
        <v>0.2</v>
      </c>
      <c r="F87" s="877">
        <v>30</v>
      </c>
    </row>
    <row r="88" spans="1:6" s="873" customFormat="1" ht="36">
      <c r="A88" s="877">
        <v>28</v>
      </c>
      <c r="B88" s="3303"/>
      <c r="C88" s="813" t="s">
        <v>670</v>
      </c>
      <c r="D88" s="813" t="s">
        <v>671</v>
      </c>
      <c r="E88" s="890">
        <v>0.2</v>
      </c>
      <c r="F88" s="877">
        <v>30</v>
      </c>
    </row>
    <row r="89" spans="1:6" s="873" customFormat="1" ht="24">
      <c r="A89" s="877">
        <v>29</v>
      </c>
      <c r="B89" s="3303"/>
      <c r="C89" s="813" t="s">
        <v>672</v>
      </c>
      <c r="D89" s="813" t="s">
        <v>673</v>
      </c>
      <c r="E89" s="890">
        <v>0.2</v>
      </c>
      <c r="F89" s="877">
        <v>30</v>
      </c>
    </row>
    <row r="90" spans="1:6" s="873" customFormat="1" ht="24">
      <c r="A90" s="877">
        <v>30</v>
      </c>
      <c r="B90" s="3303"/>
      <c r="C90" s="813" t="s">
        <v>674</v>
      </c>
      <c r="D90" s="813" t="s">
        <v>675</v>
      </c>
      <c r="E90" s="890">
        <v>0.2</v>
      </c>
      <c r="F90" s="877">
        <v>30</v>
      </c>
    </row>
    <row r="91" spans="1:6" s="873" customFormat="1" ht="36">
      <c r="A91" s="877">
        <v>31</v>
      </c>
      <c r="B91" s="3303"/>
      <c r="C91" s="813" t="s">
        <v>676</v>
      </c>
      <c r="D91" s="813" t="s">
        <v>677</v>
      </c>
      <c r="E91" s="890">
        <v>0.2</v>
      </c>
      <c r="F91" s="877">
        <v>30</v>
      </c>
    </row>
    <row r="92" spans="1:6" s="873" customFormat="1" ht="24">
      <c r="A92" s="877">
        <v>32</v>
      </c>
      <c r="B92" s="3303" t="s">
        <v>678</v>
      </c>
      <c r="C92" s="877" t="s">
        <v>679</v>
      </c>
      <c r="D92" s="813" t="s">
        <v>680</v>
      </c>
      <c r="E92" s="890">
        <v>0.2</v>
      </c>
      <c r="F92" s="877">
        <v>30</v>
      </c>
    </row>
    <row r="93" spans="1:6" s="873" customFormat="1" ht="36">
      <c r="A93" s="877">
        <v>33</v>
      </c>
      <c r="B93" s="3303"/>
      <c r="C93" s="877" t="s">
        <v>681</v>
      </c>
      <c r="D93" s="813" t="s">
        <v>682</v>
      </c>
      <c r="E93" s="890">
        <v>0.2</v>
      </c>
      <c r="F93" s="877">
        <v>30</v>
      </c>
    </row>
    <row r="94" spans="1:6" s="873" customFormat="1" ht="48">
      <c r="A94" s="877">
        <v>34</v>
      </c>
      <c r="B94" s="3303"/>
      <c r="C94" s="877" t="s">
        <v>683</v>
      </c>
      <c r="D94" s="813" t="s">
        <v>684</v>
      </c>
      <c r="E94" s="890">
        <v>0.2</v>
      </c>
      <c r="F94" s="877">
        <v>30</v>
      </c>
    </row>
    <row r="95" spans="1:6" s="873" customFormat="1" ht="36">
      <c r="A95" s="877">
        <v>35</v>
      </c>
      <c r="B95" s="3303"/>
      <c r="C95" s="877" t="s">
        <v>685</v>
      </c>
      <c r="D95" s="813" t="s">
        <v>686</v>
      </c>
      <c r="E95" s="890">
        <v>0.2</v>
      </c>
      <c r="F95" s="877">
        <v>30</v>
      </c>
    </row>
    <row r="96" spans="1:6" s="873" customFormat="1" ht="48">
      <c r="A96" s="877">
        <v>36</v>
      </c>
      <c r="B96" s="3303"/>
      <c r="C96" s="813" t="s">
        <v>687</v>
      </c>
      <c r="D96" s="813" t="s">
        <v>688</v>
      </c>
      <c r="E96" s="890">
        <v>0.2</v>
      </c>
      <c r="F96" s="877">
        <v>30</v>
      </c>
    </row>
    <row r="97" spans="1:6" s="873" customFormat="1" ht="36">
      <c r="A97" s="877">
        <v>37</v>
      </c>
      <c r="B97" s="3303"/>
      <c r="C97" s="877" t="s">
        <v>689</v>
      </c>
      <c r="D97" s="813" t="s">
        <v>690</v>
      </c>
      <c r="E97" s="890">
        <v>0.2</v>
      </c>
      <c r="F97" s="877">
        <v>30</v>
      </c>
    </row>
    <row r="98" spans="1:6" s="873" customFormat="1" ht="36">
      <c r="A98" s="877">
        <v>38</v>
      </c>
      <c r="B98" s="3303"/>
      <c r="C98" s="877" t="s">
        <v>691</v>
      </c>
      <c r="D98" s="813" t="s">
        <v>692</v>
      </c>
      <c r="E98" s="890">
        <v>0.2</v>
      </c>
      <c r="F98" s="877">
        <v>30</v>
      </c>
    </row>
    <row r="99" spans="1:6" s="873" customFormat="1" ht="36">
      <c r="A99" s="877">
        <v>39</v>
      </c>
      <c r="B99" s="3303" t="s">
        <v>693</v>
      </c>
      <c r="C99" s="877" t="s">
        <v>694</v>
      </c>
      <c r="D99" s="813" t="s">
        <v>695</v>
      </c>
      <c r="E99" s="890">
        <v>0.3</v>
      </c>
      <c r="F99" s="877">
        <v>50</v>
      </c>
    </row>
    <row r="100" spans="1:6" s="873" customFormat="1" ht="24">
      <c r="A100" s="877">
        <v>40</v>
      </c>
      <c r="B100" s="3303"/>
      <c r="C100" s="877" t="s">
        <v>696</v>
      </c>
      <c r="D100" s="813" t="s">
        <v>697</v>
      </c>
      <c r="E100" s="890">
        <v>0.2</v>
      </c>
      <c r="F100" s="877">
        <v>30</v>
      </c>
    </row>
    <row r="101" spans="1:6" s="873" customFormat="1" ht="36">
      <c r="A101" s="877">
        <v>41</v>
      </c>
      <c r="B101" s="330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3" t="s">
        <v>708</v>
      </c>
      <c r="C105" s="877" t="s">
        <v>709</v>
      </c>
      <c r="D105" s="813" t="s">
        <v>710</v>
      </c>
      <c r="E105" s="890">
        <v>0.2</v>
      </c>
      <c r="F105" s="877">
        <v>30</v>
      </c>
    </row>
    <row r="106" spans="1:6" s="873" customFormat="1" ht="36">
      <c r="A106" s="877">
        <v>46</v>
      </c>
      <c r="B106" s="3303"/>
      <c r="C106" s="877" t="s">
        <v>711</v>
      </c>
      <c r="D106" s="813" t="s">
        <v>712</v>
      </c>
      <c r="E106" s="890">
        <v>0.2</v>
      </c>
      <c r="F106" s="877">
        <v>30</v>
      </c>
    </row>
    <row r="107" spans="1:6" s="873" customFormat="1" ht="36">
      <c r="A107" s="877">
        <v>47</v>
      </c>
      <c r="B107" s="3303" t="s">
        <v>713</v>
      </c>
      <c r="C107" s="877" t="s">
        <v>714</v>
      </c>
      <c r="D107" s="813" t="s">
        <v>715</v>
      </c>
      <c r="E107" s="890">
        <v>0.3</v>
      </c>
      <c r="F107" s="877">
        <v>50</v>
      </c>
    </row>
    <row r="108" spans="1:6" s="873" customFormat="1" ht="36">
      <c r="A108" s="877">
        <v>48</v>
      </c>
      <c r="B108" s="330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3" t="s">
        <v>724</v>
      </c>
      <c r="C111" s="877" t="s">
        <v>725</v>
      </c>
      <c r="D111" s="813" t="s">
        <v>726</v>
      </c>
      <c r="E111" s="890">
        <v>0.2</v>
      </c>
      <c r="F111" s="877">
        <v>30</v>
      </c>
    </row>
    <row r="112" spans="1:6" s="873" customFormat="1" ht="24">
      <c r="A112" s="877">
        <v>52</v>
      </c>
      <c r="B112" s="3303"/>
      <c r="C112" s="877" t="s">
        <v>727</v>
      </c>
      <c r="D112" s="813" t="s">
        <v>728</v>
      </c>
      <c r="E112" s="890">
        <v>0.2</v>
      </c>
      <c r="F112" s="877">
        <v>30</v>
      </c>
    </row>
    <row r="113" spans="1:6" s="873" customFormat="1" ht="24">
      <c r="A113" s="877">
        <v>53</v>
      </c>
      <c r="B113" s="330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3" t="s">
        <v>737</v>
      </c>
      <c r="C116" s="877" t="s">
        <v>738</v>
      </c>
      <c r="D116" s="813" t="s">
        <v>739</v>
      </c>
      <c r="E116" s="890">
        <v>0.2</v>
      </c>
      <c r="F116" s="877">
        <v>30</v>
      </c>
    </row>
    <row r="117" spans="1:6" ht="36">
      <c r="A117" s="877">
        <v>57</v>
      </c>
      <c r="B117" s="330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0"/>
    <col min="2" max="16384" width="8.875"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3" t="s">
        <v>2995</v>
      </c>
    </row>
    <row r="2" spans="1:5" ht="15.75">
      <c r="A2" s="2900" t="s">
        <v>2987</v>
      </c>
      <c r="B2" s="2901" t="e">
        <f ca="1">SUMIF(B6:B13,"&lt;&gt;#ref!",B6:B13)</f>
        <v>#DIV/0!</v>
      </c>
      <c r="C2" s="2900" t="s">
        <v>2988</v>
      </c>
      <c r="D2" s="2900" t="s">
        <v>2989</v>
      </c>
      <c r="E2" s="2901">
        <f ca="1">SUMIF(E6:E13,"&lt;&gt;#ref!",E6:E13)</f>
        <v>0</v>
      </c>
    </row>
    <row r="3" spans="1:5" ht="15.75">
      <c r="A3" s="2900" t="s">
        <v>2990</v>
      </c>
      <c r="B3" s="2901" t="e">
        <f ca="1">ROUND(B2*10000/E2,0)</f>
        <v>#DIV/0!</v>
      </c>
      <c r="C3" s="2900" t="s">
        <v>2996</v>
      </c>
      <c r="D3" s="2902"/>
      <c r="E3" s="2902"/>
    </row>
    <row r="4" spans="1:5" ht="15.75">
      <c r="A4" s="2903"/>
      <c r="B4" s="2902"/>
      <c r="C4" s="2902"/>
      <c r="D4" s="2902"/>
      <c r="E4" s="2902"/>
    </row>
    <row r="5" spans="1:5" ht="28.5">
      <c r="A5" s="2904" t="s">
        <v>2991</v>
      </c>
      <c r="B5" s="2900" t="s">
        <v>2992</v>
      </c>
      <c r="C5" s="2901"/>
      <c r="D5" s="2902"/>
      <c r="E5" s="2900" t="s">
        <v>2993</v>
      </c>
    </row>
    <row r="6" spans="1:5" ht="15.75">
      <c r="A6" s="2905" t="s">
        <v>2994</v>
      </c>
      <c r="B6" s="2901" t="e">
        <f ca="1">SUMIF(INDIRECT("'"&amp;A6&amp;"'"&amp;"!A:A"),"总价",INDIRECT("'"&amp;A6&amp;"'"&amp;"!B:B"))</f>
        <v>#DIV/0!</v>
      </c>
      <c r="C6" s="2900" t="s">
        <v>2988</v>
      </c>
      <c r="D6" s="2902"/>
      <c r="E6" s="2567">
        <f ca="1">SUMIF(INDIRECT("'"&amp;A6&amp;"'"&amp;"!C:C"),"建筑面积",INDIRECT("'"&amp;A6&amp;"'"&amp;"!D:D"))</f>
        <v>0</v>
      </c>
    </row>
    <row r="7" spans="1:5" ht="15.75">
      <c r="A7" s="2905"/>
      <c r="B7" s="2901" t="e">
        <f ca="1">SUMIF(INDIRECT("'"&amp;A7&amp;"'"&amp;"!A:A"),"总价",INDIRECT("'"&amp;A7&amp;"'"&amp;"!B:B"))</f>
        <v>#REF!</v>
      </c>
      <c r="C7" s="2900" t="s">
        <v>2988</v>
      </c>
      <c r="D7" s="2902"/>
      <c r="E7" s="2567" t="e">
        <f t="shared" ref="E7:E13" ca="1" si="0">SUMIF(INDIRECT("'"&amp;A7&amp;"'"&amp;"!C:C"),"建筑面积",INDIRECT("'"&amp;A7&amp;"'"&amp;"!D:D"))</f>
        <v>#REF!</v>
      </c>
    </row>
    <row r="8" spans="1:5" ht="15.75">
      <c r="A8" s="2905"/>
      <c r="B8" s="2901" t="e">
        <f t="shared" ref="B8:B13" ca="1" si="1">SUMIF(INDIRECT("'"&amp;A8&amp;"'"&amp;"!A:A"),"总价",INDIRECT("'"&amp;A8&amp;"'"&amp;"!B:B"))</f>
        <v>#REF!</v>
      </c>
      <c r="C8" s="2900" t="s">
        <v>2988</v>
      </c>
      <c r="D8" s="2902"/>
      <c r="E8" s="2567" t="e">
        <f t="shared" ca="1" si="0"/>
        <v>#REF!</v>
      </c>
    </row>
    <row r="9" spans="1:5" ht="15.75">
      <c r="A9" s="2905"/>
      <c r="B9" s="2901" t="e">
        <f t="shared" ca="1" si="1"/>
        <v>#REF!</v>
      </c>
      <c r="C9" s="2900" t="s">
        <v>2988</v>
      </c>
      <c r="D9" s="2902"/>
      <c r="E9" s="2567" t="e">
        <f t="shared" ca="1" si="0"/>
        <v>#REF!</v>
      </c>
    </row>
    <row r="10" spans="1:5" ht="15.75">
      <c r="A10" s="2905"/>
      <c r="B10" s="2901" t="e">
        <f t="shared" ca="1" si="1"/>
        <v>#REF!</v>
      </c>
      <c r="C10" s="2900" t="s">
        <v>2988</v>
      </c>
      <c r="D10" s="2902"/>
      <c r="E10" s="2567" t="e">
        <f t="shared" ca="1" si="0"/>
        <v>#REF!</v>
      </c>
    </row>
    <row r="11" spans="1:5" ht="15.75">
      <c r="A11" s="2905"/>
      <c r="B11" s="2901" t="e">
        <f t="shared" ca="1" si="1"/>
        <v>#REF!</v>
      </c>
      <c r="C11" s="2900" t="s">
        <v>2988</v>
      </c>
      <c r="D11" s="2902"/>
      <c r="E11" s="2567" t="e">
        <f t="shared" ca="1" si="0"/>
        <v>#REF!</v>
      </c>
    </row>
    <row r="12" spans="1:5" ht="15.75">
      <c r="A12" s="2905"/>
      <c r="B12" s="2901" t="e">
        <f t="shared" ca="1" si="1"/>
        <v>#REF!</v>
      </c>
      <c r="C12" s="2900" t="s">
        <v>2988</v>
      </c>
      <c r="D12" s="2902"/>
      <c r="E12" s="2567" t="e">
        <f t="shared" ca="1" si="0"/>
        <v>#REF!</v>
      </c>
    </row>
    <row r="13" spans="1:5" ht="15.75">
      <c r="A13" s="2905"/>
      <c r="B13" s="2901" t="e">
        <f t="shared" ca="1" si="1"/>
        <v>#REF!</v>
      </c>
      <c r="C13" s="2900" t="s">
        <v>2988</v>
      </c>
      <c r="D13" s="2902"/>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7"/>
  <sheetViews>
    <sheetView zoomScale="80" zoomScaleNormal="80" zoomScalePageLayoutView="80" workbookViewId="0">
      <selection activeCell="R43" sqref="R43:W43"/>
    </sheetView>
  </sheetViews>
  <sheetFormatPr defaultColWidth="8.875" defaultRowHeight="12.75"/>
  <cols>
    <col min="1" max="1" width="8.875" style="1468"/>
    <col min="2" max="6" width="9" style="1468" customWidth="1"/>
    <col min="7" max="7" width="8.875" style="1483"/>
    <col min="8" max="8" width="8.875" style="1468"/>
    <col min="9" max="12" width="9" style="1468" customWidth="1"/>
    <col min="13" max="13" width="2.1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125" style="1468" customWidth="1"/>
    <col min="24" max="25" width="8.875" style="1468"/>
    <col min="26" max="27" width="11.625" style="1468" customWidth="1"/>
    <col min="28" max="28" width="8.875" style="1468"/>
    <col min="29" max="29" width="2" style="1468" customWidth="1"/>
    <col min="30" max="16384" width="8.875" style="1468"/>
  </cols>
  <sheetData>
    <row r="1" spans="1:34" s="1442" customFormat="1">
      <c r="B1" s="3309" t="s">
        <v>1150</v>
      </c>
      <c r="C1" s="3309"/>
      <c r="D1" s="3309"/>
      <c r="E1" s="3309"/>
      <c r="F1" s="3309"/>
      <c r="G1" s="3308" t="s">
        <v>1151</v>
      </c>
      <c r="H1" s="3308"/>
      <c r="I1" s="3308"/>
      <c r="J1" s="3308"/>
      <c r="K1" s="3308"/>
      <c r="L1" s="3308"/>
      <c r="N1" s="3308" t="s">
        <v>1152</v>
      </c>
      <c r="O1" s="3308"/>
      <c r="P1" s="3308"/>
      <c r="Q1" s="3308"/>
      <c r="R1" s="1443"/>
      <c r="S1" s="3308" t="s">
        <v>1153</v>
      </c>
      <c r="T1" s="3308"/>
      <c r="U1" s="3308"/>
      <c r="V1" s="3308"/>
      <c r="X1" s="3307" t="s">
        <v>1154</v>
      </c>
      <c r="Y1" s="3308"/>
      <c r="Z1" s="3308"/>
      <c r="AA1" s="3308"/>
      <c r="AB1" s="3308"/>
      <c r="AD1" s="3307" t="s">
        <v>1155</v>
      </c>
      <c r="AE1" s="3308"/>
      <c r="AF1" s="3308"/>
      <c r="AG1" s="3308"/>
      <c r="AH1" s="3308"/>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19" customFormat="1" ht="14.25">
      <c r="A3" s="2928" t="s">
        <v>3030</v>
      </c>
      <c r="B3" s="2920"/>
      <c r="C3" s="2920"/>
      <c r="D3" s="2921"/>
      <c r="E3" s="2921"/>
      <c r="F3" s="2920"/>
      <c r="G3" s="2922"/>
      <c r="H3" s="2923"/>
      <c r="I3" s="2924">
        <f>ROUND(AVERAGE($I4:$I24),2)</f>
        <v>2.19</v>
      </c>
      <c r="J3" s="2924">
        <f>ROUND(AVERAGE($J4:$J24),2)</f>
        <v>1.53</v>
      </c>
      <c r="K3" s="2924">
        <f>ROUND(AVERAGE($K4:$K24),2)</f>
        <v>2.41</v>
      </c>
      <c r="L3" s="2924">
        <f>ROUND(AVERAGE($L4:$L24),2)</f>
        <v>1.42</v>
      </c>
      <c r="N3" s="2922"/>
      <c r="O3" s="2925"/>
      <c r="P3" s="2925"/>
      <c r="Q3" s="2925"/>
      <c r="R3" s="2925"/>
      <c r="S3" s="2922"/>
      <c r="T3" s="2925"/>
      <c r="U3" s="2925"/>
      <c r="V3" s="2925"/>
      <c r="W3" s="2917"/>
      <c r="X3" s="2926">
        <f>ROUND(SUMPRODUCT(PRODUCT(1+N3:N$23)),4)</f>
        <v>1.4956</v>
      </c>
      <c r="Y3" s="2926">
        <f>ROUND(SUMPRODUCT(PRODUCT(1+O3:O$23)),4)</f>
        <v>1.3237000000000001</v>
      </c>
      <c r="Z3" s="2926">
        <f t="shared" ref="Z3:Z21" si="0">Y3</f>
        <v>1.3237000000000001</v>
      </c>
      <c r="AA3" s="2926">
        <f>ROUND(SUMPRODUCT(PRODUCT(1+P3:P$23)),4)</f>
        <v>1.554</v>
      </c>
      <c r="AB3" s="2926">
        <f>ROUND(SUMPRODUCT(PRODUCT(1+Q3:Q$23)),4)</f>
        <v>1.3087</v>
      </c>
      <c r="AD3" s="2927">
        <f>ROUND(AVERAGE(I3:I$24)/100,4)</f>
        <v>2.1899999999999999E-2</v>
      </c>
      <c r="AE3" s="2927">
        <f>ROUND(AVERAGE(J3:J$24)/100,4)</f>
        <v>1.5299999999999999E-2</v>
      </c>
      <c r="AF3" s="2927">
        <f t="shared" ref="AF3:AF22" si="1">AE3</f>
        <v>1.5299999999999999E-2</v>
      </c>
      <c r="AG3" s="2927">
        <f>ROUND(AVERAGE(K3:K$24)/100,4)</f>
        <v>2.41E-2</v>
      </c>
      <c r="AH3" s="2927">
        <f>ROUND(AVERAGE(L3:L$24)/100,4)</f>
        <v>1.4200000000000001E-2</v>
      </c>
    </row>
    <row r="4" spans="1:34" s="1450" customFormat="1" ht="14.25">
      <c r="B4" s="1451"/>
      <c r="C4" s="1451"/>
      <c r="D4" s="1452"/>
      <c r="E4" s="1452"/>
      <c r="F4" s="1451"/>
      <c r="G4" s="1453"/>
      <c r="H4" s="1454"/>
      <c r="I4" s="2913"/>
      <c r="J4" s="2913"/>
      <c r="K4" s="2913"/>
      <c r="L4" s="2913"/>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3038</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1">
        <v>2018</v>
      </c>
      <c r="H5" s="1726">
        <v>4</v>
      </c>
      <c r="I5" s="2914">
        <v>0</v>
      </c>
      <c r="J5" s="2914">
        <v>0</v>
      </c>
      <c r="K5" s="2914">
        <v>0</v>
      </c>
      <c r="L5" s="2914">
        <v>0</v>
      </c>
      <c r="N5" s="1464">
        <f>I5/100</f>
        <v>0</v>
      </c>
      <c r="O5" s="1464">
        <f t="shared" ref="O5" si="7">J5/100</f>
        <v>0</v>
      </c>
      <c r="P5" s="1464">
        <f t="shared" ref="P5" si="8">K5/100</f>
        <v>0</v>
      </c>
      <c r="Q5" s="1464">
        <f t="shared" ref="Q5" si="9">L5/100</f>
        <v>0</v>
      </c>
      <c r="R5" s="1728"/>
      <c r="S5" s="1729"/>
      <c r="T5" s="1728"/>
      <c r="U5" s="1728"/>
      <c r="V5" s="1728"/>
      <c r="W5" s="2918" t="s">
        <v>3031</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5">
        <f>ROUND(AVERAGE(I5:I$24)/100,4)</f>
        <v>2.1899999999999999E-2</v>
      </c>
      <c r="AE5" s="1465">
        <f>ROUND(AVERAGE(J5:J$24)/100,4)</f>
        <v>1.5299999999999999E-2</v>
      </c>
      <c r="AF5" s="1465">
        <f t="shared" ref="AF5" si="11">AE5</f>
        <v>1.5299999999999999E-2</v>
      </c>
      <c r="AG5" s="1465">
        <f>ROUND(AVERAGE(K5:K$24)/100,4)</f>
        <v>2.41E-2</v>
      </c>
      <c r="AH5" s="1465">
        <f>ROUND(AVERAGE(L5:L$24)/100,4)</f>
        <v>1.4200000000000001E-2</v>
      </c>
    </row>
    <row r="6" spans="1:34" s="1463" customFormat="1" ht="13.5" thickBot="1">
      <c r="A6" s="1458" t="s">
        <v>3039</v>
      </c>
      <c r="B6" s="1474">
        <f t="shared" ref="B6" si="12">B7*(1+N6)</f>
        <v>459.95733971036987</v>
      </c>
      <c r="C6" s="1474">
        <f t="shared" ref="C6" si="13">C7*(1+O6)</f>
        <v>341.22221064422405</v>
      </c>
      <c r="D6" s="1474">
        <f t="shared" ref="D6" si="14">C6</f>
        <v>341.22221064422405</v>
      </c>
      <c r="E6" s="1474">
        <f t="shared" ref="E6" si="15">E7*(1+P6)</f>
        <v>657.19161663724799</v>
      </c>
      <c r="F6" s="1474">
        <f t="shared" ref="F6" si="16">F7*(1+Q6)</f>
        <v>300.87803644464805</v>
      </c>
      <c r="G6" s="2929"/>
      <c r="H6" s="1461">
        <v>3</v>
      </c>
      <c r="I6" s="1461">
        <v>1.51</v>
      </c>
      <c r="J6" s="1461">
        <v>1.41</v>
      </c>
      <c r="K6" s="1461">
        <v>1.52</v>
      </c>
      <c r="L6" s="1475">
        <v>1.74</v>
      </c>
      <c r="M6" s="1468"/>
      <c r="N6" s="1469">
        <f>I6/100</f>
        <v>1.5100000000000001E-2</v>
      </c>
      <c r="O6" s="1470">
        <f t="shared" ref="O6" si="17">J6/100</f>
        <v>1.41E-2</v>
      </c>
      <c r="P6" s="1470">
        <f t="shared" ref="P6" si="18">K6/100</f>
        <v>1.52E-2</v>
      </c>
      <c r="Q6" s="1470">
        <f t="shared" ref="Q6" si="19">L6/100</f>
        <v>1.7399999999999999E-2</v>
      </c>
      <c r="R6" s="1471"/>
      <c r="S6" s="1469"/>
      <c r="T6" s="1470"/>
      <c r="U6" s="1470"/>
      <c r="V6" s="1470"/>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3" customFormat="1" ht="13.5" thickBot="1">
      <c r="A7" s="1458" t="s">
        <v>3037</v>
      </c>
      <c r="B7" s="1474">
        <f t="shared" ref="B7" si="22">B8*(1+N7)</f>
        <v>453.11529869999993</v>
      </c>
      <c r="C7" s="1474">
        <f t="shared" ref="C7" si="23">C8*(1+O7)</f>
        <v>336.47787264000004</v>
      </c>
      <c r="D7" s="1474">
        <f t="shared" ref="D7" si="24">C7</f>
        <v>336.47787264000004</v>
      </c>
      <c r="E7" s="1474">
        <f t="shared" ref="E7" si="25">E8*(1+P7)</f>
        <v>647.35186823999993</v>
      </c>
      <c r="F7" s="1474">
        <f t="shared" ref="F7" si="26">F8*(1+Q7)</f>
        <v>295.73229452000004</v>
      </c>
      <c r="G7" s="2929"/>
      <c r="H7" s="1461">
        <v>2</v>
      </c>
      <c r="I7" s="1461">
        <v>1.49</v>
      </c>
      <c r="J7" s="1461">
        <v>0.96</v>
      </c>
      <c r="K7" s="1461">
        <v>1.58</v>
      </c>
      <c r="L7" s="1475">
        <v>2.44</v>
      </c>
      <c r="M7" s="1468"/>
      <c r="N7" s="1469">
        <f t="shared" ref="N7" si="27">I7/100</f>
        <v>1.49E-2</v>
      </c>
      <c r="O7" s="1470">
        <f t="shared" ref="O7" si="28">J7/100</f>
        <v>9.5999999999999992E-3</v>
      </c>
      <c r="P7" s="1470">
        <f t="shared" ref="P7" si="29">K7/100</f>
        <v>1.5800000000000002E-2</v>
      </c>
      <c r="Q7" s="1470">
        <f t="shared" ref="Q7" si="30">L7/100</f>
        <v>2.4399999999999998E-2</v>
      </c>
      <c r="R7" s="1471"/>
      <c r="S7" s="1469"/>
      <c r="T7" s="1470"/>
      <c r="U7" s="1470"/>
      <c r="V7" s="1470"/>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3" customFormat="1" ht="13.5" thickBot="1">
      <c r="A8" s="1458" t="s">
        <v>3029</v>
      </c>
      <c r="B8" s="1474">
        <f t="shared" ref="B8" si="33">B9*(1+N8)</f>
        <v>446.46299999999997</v>
      </c>
      <c r="C8" s="1474">
        <f t="shared" ref="C8" si="34">C9*(1+O8)</f>
        <v>333.27840000000003</v>
      </c>
      <c r="D8" s="1474">
        <f t="shared" ref="D8" si="35">C8</f>
        <v>333.27840000000003</v>
      </c>
      <c r="E8" s="1474">
        <f t="shared" ref="E8" si="36">E9*(1+P8)</f>
        <v>637.28279999999995</v>
      </c>
      <c r="F8" s="1474">
        <f t="shared" ref="F8" si="37">F9*(1+Q8)</f>
        <v>288.68830000000003</v>
      </c>
      <c r="G8" s="2929"/>
      <c r="H8" s="1461">
        <v>1</v>
      </c>
      <c r="I8" s="1461">
        <v>1.7</v>
      </c>
      <c r="J8" s="1461">
        <v>1.92</v>
      </c>
      <c r="K8" s="1461">
        <v>1.64</v>
      </c>
      <c r="L8" s="1475">
        <v>2.0099999999999998</v>
      </c>
      <c r="M8" s="1468"/>
      <c r="N8" s="1469">
        <f t="shared" ref="N8:N13" si="38">I8/100</f>
        <v>1.7000000000000001E-2</v>
      </c>
      <c r="O8" s="1470">
        <f t="shared" ref="O8" si="39">J8/100</f>
        <v>1.9199999999999998E-2</v>
      </c>
      <c r="P8" s="1470">
        <f t="shared" ref="P8" si="40">K8/100</f>
        <v>1.6399999999999998E-2</v>
      </c>
      <c r="Q8" s="1470">
        <f t="shared" ref="Q8" si="41">L8/100</f>
        <v>2.0099999999999996E-2</v>
      </c>
      <c r="R8" s="1471"/>
      <c r="S8" s="1469">
        <f>B8/B9-1</f>
        <v>1.6999999999999904E-2</v>
      </c>
      <c r="T8" s="1470">
        <f t="shared" ref="T8" si="42">C8/C9-1</f>
        <v>1.9200000000000106E-2</v>
      </c>
      <c r="U8" s="1470">
        <f t="shared" ref="U8" si="43">D8/D9-1</f>
        <v>1.9200000000000106E-2</v>
      </c>
      <c r="V8" s="1470">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8" t="s">
        <v>3026</v>
      </c>
      <c r="B9" s="1466">
        <v>439</v>
      </c>
      <c r="C9" s="1466">
        <v>327</v>
      </c>
      <c r="D9" s="1466">
        <f>C9</f>
        <v>327</v>
      </c>
      <c r="E9" s="1466">
        <v>627</v>
      </c>
      <c r="F9" s="1467">
        <v>283</v>
      </c>
      <c r="G9" s="2916">
        <v>2017</v>
      </c>
      <c r="H9" s="1459">
        <v>4</v>
      </c>
      <c r="I9" s="1459">
        <v>1.71</v>
      </c>
      <c r="J9" s="1459">
        <v>1.78</v>
      </c>
      <c r="K9" s="1459">
        <v>1.71</v>
      </c>
      <c r="L9" s="1460">
        <v>1.43</v>
      </c>
      <c r="N9" s="1469">
        <f t="shared" si="38"/>
        <v>1.7100000000000001E-2</v>
      </c>
      <c r="O9" s="1470">
        <f t="shared" ref="O9" si="47">J9/100</f>
        <v>1.78E-2</v>
      </c>
      <c r="P9" s="1470">
        <f t="shared" ref="P9" si="48">K9/100</f>
        <v>1.7100000000000001E-2</v>
      </c>
      <c r="Q9" s="1470">
        <f t="shared" ref="Q9" si="49">L9/100</f>
        <v>1.43E-2</v>
      </c>
      <c r="R9" s="1471"/>
      <c r="S9" s="1472"/>
      <c r="T9" s="1473"/>
      <c r="U9" s="1473"/>
      <c r="V9" s="1473"/>
      <c r="X9" s="1456">
        <f>ROUND(SUMPRODUCT(PRODUCT(1+N9:N$23)),4)</f>
        <v>1.4274</v>
      </c>
      <c r="Y9" s="1456">
        <f>ROUND(SUMPRODUCT(PRODUCT(1+O9:O$23)),4)</f>
        <v>1.2685</v>
      </c>
      <c r="Z9" s="1456">
        <f t="shared" si="0"/>
        <v>1.2685</v>
      </c>
      <c r="AA9" s="1456">
        <f>ROUND(SUMPRODUCT(PRODUCT(1+P9:P$23)),4)</f>
        <v>1.4825999999999999</v>
      </c>
      <c r="AB9" s="1456">
        <f>ROUND(SUMPRODUCT(PRODUCT(1+Q9:Q$23)),4)</f>
        <v>1.2309000000000001</v>
      </c>
      <c r="AD9" s="1457">
        <f>ROUND(AVERAGE(I9:I$24)/100,4)</f>
        <v>2.4500000000000001E-2</v>
      </c>
      <c r="AE9" s="1457">
        <f>ROUND(AVERAGE(J9:J$24)/100,4)</f>
        <v>1.6500000000000001E-2</v>
      </c>
      <c r="AF9" s="1457">
        <f t="shared" si="1"/>
        <v>1.6500000000000001E-2</v>
      </c>
      <c r="AG9" s="1457">
        <f>ROUND(AVERAGE(K9:K$24)/100,4)</f>
        <v>2.7099999999999999E-2</v>
      </c>
      <c r="AH9" s="1457">
        <f>ROUND(AVERAGE(L9:L$24)/100,4)</f>
        <v>1.3899999999999999E-2</v>
      </c>
    </row>
    <row r="10" spans="1:34" s="1463" customFormat="1" ht="13.5" thickBot="1">
      <c r="A10" s="1458" t="s">
        <v>3027</v>
      </c>
      <c r="B10" s="1474">
        <f t="shared" ref="B10:B11" si="50">B11*(1+N10)</f>
        <v>431.80730811680002</v>
      </c>
      <c r="C10" s="1474">
        <f t="shared" ref="C10:C11" si="51">C11*(1+O10)</f>
        <v>320.57880516480003</v>
      </c>
      <c r="D10" s="1474">
        <f t="shared" ref="D10:D11" si="52">C10</f>
        <v>320.57880516480003</v>
      </c>
      <c r="E10" s="1474">
        <f t="shared" ref="E10:E11" si="53">E11*(1+P10)</f>
        <v>615.96110553196797</v>
      </c>
      <c r="F10" s="1474">
        <f t="shared" ref="F10:F11" si="54">F11*(1+Q10)</f>
        <v>279.46777300108801</v>
      </c>
      <c r="G10" s="2912"/>
      <c r="H10" s="1461">
        <v>3</v>
      </c>
      <c r="I10" s="1461">
        <v>2.98</v>
      </c>
      <c r="J10" s="1461">
        <v>2.11</v>
      </c>
      <c r="K10" s="1461">
        <v>3.24</v>
      </c>
      <c r="L10" s="1475">
        <v>1.72</v>
      </c>
      <c r="M10" s="1468"/>
      <c r="N10" s="1469">
        <f t="shared" si="38"/>
        <v>2.98E-2</v>
      </c>
      <c r="O10" s="1470">
        <f t="shared" ref="O10" si="55">J10/100</f>
        <v>2.1099999999999997E-2</v>
      </c>
      <c r="P10" s="1470">
        <f t="shared" ref="P10" si="56">K10/100</f>
        <v>3.2400000000000005E-2</v>
      </c>
      <c r="Q10" s="1470">
        <f t="shared" ref="Q10" si="57">L10/100</f>
        <v>1.72E-2</v>
      </c>
      <c r="R10" s="1471"/>
      <c r="S10" s="1469"/>
      <c r="T10" s="1470"/>
      <c r="U10" s="1470"/>
      <c r="V10" s="1470"/>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8" t="s">
        <v>1386</v>
      </c>
      <c r="B11" s="1474">
        <f t="shared" si="50"/>
        <v>419.31181600000002</v>
      </c>
      <c r="C11" s="1474">
        <f t="shared" si="51"/>
        <v>313.95436800000004</v>
      </c>
      <c r="D11" s="1474">
        <f t="shared" si="52"/>
        <v>313.95436800000004</v>
      </c>
      <c r="E11" s="1474">
        <f t="shared" si="53"/>
        <v>596.63028431999999</v>
      </c>
      <c r="F11" s="1474">
        <f t="shared" si="54"/>
        <v>274.74220703999998</v>
      </c>
      <c r="G11" s="2911"/>
      <c r="H11" s="1462">
        <v>2</v>
      </c>
      <c r="I11" s="1462">
        <v>3.4</v>
      </c>
      <c r="J11" s="1462">
        <v>2</v>
      </c>
      <c r="K11" s="1462">
        <v>3.82</v>
      </c>
      <c r="L11" s="1476">
        <v>1.68</v>
      </c>
      <c r="M11" s="1468"/>
      <c r="N11" s="1469">
        <f t="shared" si="38"/>
        <v>3.4000000000000002E-2</v>
      </c>
      <c r="O11" s="1470">
        <f t="shared" ref="O11" si="58">J11/100</f>
        <v>0.02</v>
      </c>
      <c r="P11" s="1470">
        <f t="shared" ref="P11" si="59">K11/100</f>
        <v>3.8199999999999998E-2</v>
      </c>
      <c r="Q11" s="1470">
        <f t="shared" ref="Q11" si="60">L11/100</f>
        <v>1.6799999999999999E-2</v>
      </c>
      <c r="R11" s="1471"/>
      <c r="S11" s="1472"/>
      <c r="T11" s="1473"/>
      <c r="U11" s="1473"/>
      <c r="V11" s="1473"/>
      <c r="W11" s="1450"/>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50"/>
      <c r="AD11" s="1785">
        <f>ROUND(AVERAGE(I11:I$24)/100,4)</f>
        <v>2.46E-2</v>
      </c>
      <c r="AE11" s="1785">
        <f>ROUND(AVERAGE(J11:J$24)/100,4)</f>
        <v>1.6E-2</v>
      </c>
      <c r="AF11" s="1785">
        <f t="shared" si="1"/>
        <v>1.6E-2</v>
      </c>
      <c r="AG11" s="1785">
        <f>ROUND(AVERAGE(K11:K$24)/100,4)</f>
        <v>2.75E-2</v>
      </c>
      <c r="AH11" s="1785">
        <f>ROUND(AVERAGE(L11:L$24)/100,4)</f>
        <v>1.37E-2</v>
      </c>
    </row>
    <row r="12" spans="1:34" s="1463" customFormat="1" ht="13.5" thickBot="1">
      <c r="A12" s="1458" t="s">
        <v>1161</v>
      </c>
      <c r="B12" s="1474">
        <f>B13*(1+N12)</f>
        <v>405.524</v>
      </c>
      <c r="C12" s="1474">
        <f>C13*(1+O12)</f>
        <v>307.79840000000002</v>
      </c>
      <c r="D12" s="1474">
        <f>C12</f>
        <v>307.79840000000002</v>
      </c>
      <c r="E12" s="1474">
        <f>E13*(1+P12)</f>
        <v>574.67759999999998</v>
      </c>
      <c r="F12" s="1474">
        <f>F13*(1+Q12)</f>
        <v>270.20280000000002</v>
      </c>
      <c r="G12" s="2912"/>
      <c r="H12" s="1461">
        <v>1</v>
      </c>
      <c r="I12" s="1461">
        <v>3.45</v>
      </c>
      <c r="J12" s="1461">
        <v>1.92</v>
      </c>
      <c r="K12" s="1461">
        <v>3.92</v>
      </c>
      <c r="L12" s="1475">
        <v>1.58</v>
      </c>
      <c r="M12" s="1468"/>
      <c r="N12" s="1469">
        <f t="shared" si="38"/>
        <v>3.4500000000000003E-2</v>
      </c>
      <c r="O12" s="1470">
        <f t="shared" ref="O12:Q27" si="61">J12/100</f>
        <v>1.9199999999999998E-2</v>
      </c>
      <c r="P12" s="1470">
        <f t="shared" si="61"/>
        <v>3.9199999999999999E-2</v>
      </c>
      <c r="Q12" s="1470">
        <f t="shared" si="61"/>
        <v>1.5800000000000002E-2</v>
      </c>
      <c r="R12" s="1471"/>
      <c r="S12" s="1469">
        <f>B12/B13-1</f>
        <v>3.4499999999999975E-2</v>
      </c>
      <c r="T12" s="1470">
        <f t="shared" ref="T12:V12" si="62">C12/C13-1</f>
        <v>1.9200000000000106E-2</v>
      </c>
      <c r="U12" s="1470">
        <f t="shared" si="62"/>
        <v>1.9200000000000106E-2</v>
      </c>
      <c r="V12" s="1470">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8" t="s">
        <v>154</v>
      </c>
      <c r="B13" s="1466">
        <v>392</v>
      </c>
      <c r="C13" s="1466">
        <v>302</v>
      </c>
      <c r="D13" s="1466">
        <f>C13</f>
        <v>302</v>
      </c>
      <c r="E13" s="1466">
        <v>553</v>
      </c>
      <c r="F13" s="1467">
        <v>266</v>
      </c>
      <c r="G13" s="3310">
        <v>2016</v>
      </c>
      <c r="H13" s="1459">
        <v>4</v>
      </c>
      <c r="I13" s="1459">
        <v>4.5599999999999996</v>
      </c>
      <c r="J13" s="1459">
        <v>2.15</v>
      </c>
      <c r="K13" s="1459">
        <v>5.32</v>
      </c>
      <c r="L13" s="1460">
        <v>1.57</v>
      </c>
      <c r="N13" s="1469">
        <f t="shared" si="38"/>
        <v>4.5599999999999995E-2</v>
      </c>
      <c r="O13" s="1470">
        <f t="shared" si="61"/>
        <v>2.1499999999999998E-2</v>
      </c>
      <c r="P13" s="1470">
        <f t="shared" si="61"/>
        <v>5.3200000000000004E-2</v>
      </c>
      <c r="Q13" s="1470">
        <f t="shared" si="61"/>
        <v>1.5700000000000002E-2</v>
      </c>
      <c r="R13" s="1471"/>
      <c r="S13" s="1472"/>
      <c r="T13" s="1473"/>
      <c r="U13" s="1473"/>
      <c r="V13" s="1473"/>
      <c r="X13" s="1456">
        <f>ROUND(SUMPRODUCT(PRODUCT(1+N13:N$23)),4)</f>
        <v>1.274</v>
      </c>
      <c r="Y13" s="1456">
        <f>ROUND(SUMPRODUCT(PRODUCT(1+O13:O$23)),4)</f>
        <v>1.1740999999999999</v>
      </c>
      <c r="Z13" s="1456">
        <f t="shared" si="0"/>
        <v>1.1740999999999999</v>
      </c>
      <c r="AA13" s="1456">
        <f>ROUND(SUMPRODUCT(PRODUCT(1+P13:P$23)),4)</f>
        <v>1.3087</v>
      </c>
      <c r="AB13" s="1456">
        <f>ROUND(SUMPRODUCT(PRODUCT(1+Q13:Q$23)),4)</f>
        <v>1.1551</v>
      </c>
      <c r="AD13" s="1457">
        <f>ROUND(AVERAGE(I13:I$24)/100,4)</f>
        <v>2.3E-2</v>
      </c>
      <c r="AE13" s="1457">
        <f>ROUND(AVERAGE(J13:J$24)/100,4)</f>
        <v>1.55E-2</v>
      </c>
      <c r="AF13" s="1457">
        <f t="shared" si="1"/>
        <v>1.55E-2</v>
      </c>
      <c r="AG13" s="1457">
        <f>ROUND(AVERAGE(K13:K$24)/100,4)</f>
        <v>2.5600000000000001E-2</v>
      </c>
      <c r="AH13" s="1457">
        <f>ROUND(AVERAGE(L13:L$24)/100,4)</f>
        <v>1.32E-2</v>
      </c>
    </row>
    <row r="14" spans="1:34">
      <c r="A14" s="1458" t="s">
        <v>153</v>
      </c>
      <c r="B14" s="1474">
        <f t="shared" ref="B14:C16" si="63">B13/(1+N13)</f>
        <v>374.90436113236416</v>
      </c>
      <c r="C14" s="1474">
        <f t="shared" si="63"/>
        <v>295.64366128242779</v>
      </c>
      <c r="D14" s="1474">
        <f t="shared" ref="D14:D73" si="64">C14</f>
        <v>295.64366128242779</v>
      </c>
      <c r="E14" s="1474">
        <f t="shared" ref="E14:F16" si="65">E13/(1+P13)</f>
        <v>525.06646410938095</v>
      </c>
      <c r="F14" s="1474">
        <f t="shared" si="65"/>
        <v>261.88835286009646</v>
      </c>
      <c r="G14" s="3305"/>
      <c r="H14" s="1461">
        <v>3</v>
      </c>
      <c r="I14" s="1461">
        <v>4.12</v>
      </c>
      <c r="J14" s="1461">
        <v>2</v>
      </c>
      <c r="K14" s="1461">
        <v>4.79</v>
      </c>
      <c r="L14" s="1475">
        <v>1.97</v>
      </c>
      <c r="N14" s="1469">
        <f t="shared" ref="N14:Q48" si="66">I14/100</f>
        <v>4.1200000000000001E-2</v>
      </c>
      <c r="O14" s="1470">
        <f t="shared" si="61"/>
        <v>0.02</v>
      </c>
      <c r="P14" s="1470">
        <f t="shared" si="61"/>
        <v>4.7899999999999998E-2</v>
      </c>
      <c r="Q14" s="1470">
        <f t="shared" si="61"/>
        <v>1.9699999999999999E-2</v>
      </c>
      <c r="R14" s="1471"/>
      <c r="S14" s="1469"/>
      <c r="T14" s="1470"/>
      <c r="U14" s="1470"/>
      <c r="V14" s="1470"/>
      <c r="X14" s="1456">
        <f>ROUND(SUMPRODUCT(PRODUCT(1+N14:N$23)),4)</f>
        <v>1.2184999999999999</v>
      </c>
      <c r="Y14" s="1456">
        <f>ROUND(SUMPRODUCT(PRODUCT(1+O14:O$23)),4)</f>
        <v>1.1494</v>
      </c>
      <c r="Z14" s="1456">
        <f t="shared" si="0"/>
        <v>1.1494</v>
      </c>
      <c r="AA14" s="1456">
        <f>ROUND(SUMPRODUCT(PRODUCT(1+P14:P$23)),4)</f>
        <v>1.2425999999999999</v>
      </c>
      <c r="AB14" s="1456">
        <f>ROUND(SUMPRODUCT(PRODUCT(1+Q14:Q$23)),4)</f>
        <v>1.1372</v>
      </c>
      <c r="AD14" s="1457">
        <f>ROUND(AVERAGE(I14:I$24)/100,4)</f>
        <v>2.0899999999999998E-2</v>
      </c>
      <c r="AE14" s="1457">
        <f>ROUND(AVERAGE(J14:J$24)/100,4)</f>
        <v>1.49E-2</v>
      </c>
      <c r="AF14" s="1457">
        <f t="shared" si="1"/>
        <v>1.49E-2</v>
      </c>
      <c r="AG14" s="1457">
        <f>ROUND(AVERAGE(K14:K$24)/100,4)</f>
        <v>2.3099999999999999E-2</v>
      </c>
      <c r="AH14" s="1457">
        <f>ROUND(AVERAGE(L14:L$24)/100,4)</f>
        <v>1.2999999999999999E-2</v>
      </c>
    </row>
    <row r="15" spans="1:34">
      <c r="A15" s="1458" t="s">
        <v>143</v>
      </c>
      <c r="B15" s="1474">
        <f t="shared" si="63"/>
        <v>360.06949782209392</v>
      </c>
      <c r="C15" s="1474">
        <f t="shared" si="63"/>
        <v>289.84672674747821</v>
      </c>
      <c r="D15" s="1474">
        <f t="shared" si="64"/>
        <v>289.84672674747821</v>
      </c>
      <c r="E15" s="1474">
        <f t="shared" si="65"/>
        <v>501.06543001181495</v>
      </c>
      <c r="F15" s="1474">
        <f t="shared" si="65"/>
        <v>256.82882500744967</v>
      </c>
      <c r="G15" s="3305"/>
      <c r="H15" s="1462">
        <v>2</v>
      </c>
      <c r="I15" s="1462">
        <v>3.85</v>
      </c>
      <c r="J15" s="1462">
        <v>1.95</v>
      </c>
      <c r="K15" s="1462">
        <v>4.4800000000000004</v>
      </c>
      <c r="L15" s="1476">
        <v>1.41</v>
      </c>
      <c r="N15" s="1469">
        <f t="shared" si="66"/>
        <v>3.85E-2</v>
      </c>
      <c r="O15" s="1470">
        <f t="shared" si="61"/>
        <v>1.95E-2</v>
      </c>
      <c r="P15" s="1470">
        <f t="shared" si="61"/>
        <v>4.4800000000000006E-2</v>
      </c>
      <c r="Q15" s="1470">
        <f t="shared" si="61"/>
        <v>1.41E-2</v>
      </c>
      <c r="R15" s="1471"/>
      <c r="S15" s="1469"/>
      <c r="T15" s="1470"/>
      <c r="U15" s="1470"/>
      <c r="V15" s="1470"/>
      <c r="X15" s="1456">
        <f>ROUND(SUMPRODUCT(PRODUCT(1+N15:N$23)),4)</f>
        <v>1.1702999999999999</v>
      </c>
      <c r="Y15" s="1456">
        <f>ROUND(SUMPRODUCT(PRODUCT(1+O15:O$23)),4)</f>
        <v>1.1269</v>
      </c>
      <c r="Z15" s="1456">
        <f t="shared" si="0"/>
        <v>1.1269</v>
      </c>
      <c r="AA15" s="1456">
        <f>ROUND(SUMPRODUCT(PRODUCT(1+P15:P$23)),4)</f>
        <v>1.1858</v>
      </c>
      <c r="AB15" s="1456">
        <f>ROUND(SUMPRODUCT(PRODUCT(1+Q15:Q$23)),4)</f>
        <v>1.1152</v>
      </c>
      <c r="AD15" s="1457">
        <f>ROUND(AVERAGE(I15:I$24)/100,4)</f>
        <v>1.89E-2</v>
      </c>
      <c r="AE15" s="1457">
        <f>ROUND(AVERAGE(J15:J$24)/100,4)</f>
        <v>1.44E-2</v>
      </c>
      <c r="AF15" s="1457">
        <f t="shared" si="1"/>
        <v>1.44E-2</v>
      </c>
      <c r="AG15" s="1457">
        <f>ROUND(AVERAGE(K15:K$24)/100,4)</f>
        <v>2.06E-2</v>
      </c>
      <c r="AH15" s="1457">
        <f>ROUND(AVERAGE(L15:L$24)/100,4)</f>
        <v>1.23E-2</v>
      </c>
    </row>
    <row r="16" spans="1:34" ht="13.5" thickBot="1">
      <c r="A16" s="1458" t="s">
        <v>152</v>
      </c>
      <c r="B16" s="1474">
        <f t="shared" si="63"/>
        <v>346.720748986128</v>
      </c>
      <c r="C16" s="1474">
        <f t="shared" si="63"/>
        <v>284.30282172386285</v>
      </c>
      <c r="D16" s="1474">
        <f t="shared" si="64"/>
        <v>284.30282172386285</v>
      </c>
      <c r="E16" s="1474">
        <f t="shared" si="65"/>
        <v>479.58023546306947</v>
      </c>
      <c r="F16" s="1474">
        <f t="shared" si="65"/>
        <v>253.25788877571213</v>
      </c>
      <c r="G16" s="3306"/>
      <c r="H16" s="1461">
        <v>1</v>
      </c>
      <c r="I16" s="1461">
        <v>4.09</v>
      </c>
      <c r="J16" s="1461">
        <v>2.93</v>
      </c>
      <c r="K16" s="1461">
        <v>4.54</v>
      </c>
      <c r="L16" s="1475">
        <v>1.48</v>
      </c>
      <c r="N16" s="1469">
        <f t="shared" si="66"/>
        <v>4.0899999999999999E-2</v>
      </c>
      <c r="O16" s="1470">
        <f t="shared" si="61"/>
        <v>2.9300000000000003E-2</v>
      </c>
      <c r="P16" s="1470">
        <f t="shared" si="61"/>
        <v>4.5400000000000003E-2</v>
      </c>
      <c r="Q16" s="1470">
        <f t="shared" si="61"/>
        <v>1.4800000000000001E-2</v>
      </c>
      <c r="R16" s="1471"/>
      <c r="S16" s="1477">
        <f>B16/B17-1</f>
        <v>4.1203450408792808E-2</v>
      </c>
      <c r="T16" s="1478">
        <f>C16/C17-1</f>
        <v>2.6363977342465095E-2</v>
      </c>
      <c r="U16" s="1478">
        <f>E16/E17-1</f>
        <v>4.4837114298626357E-2</v>
      </c>
      <c r="V16" s="1478">
        <f>F16/F17-1</f>
        <v>1.7099954922538574E-2</v>
      </c>
      <c r="X16" s="1456">
        <f>ROUND(SUMPRODUCT(PRODUCT(1+N16:N$23)),4)</f>
        <v>1.1269</v>
      </c>
      <c r="Y16" s="1456">
        <f>ROUND(SUMPRODUCT(PRODUCT(1+O16:O$23)),4)</f>
        <v>1.1052999999999999</v>
      </c>
      <c r="Z16" s="1456">
        <f t="shared" si="0"/>
        <v>1.1052999999999999</v>
      </c>
      <c r="AA16" s="1456">
        <f>ROUND(SUMPRODUCT(PRODUCT(1+P16:P$23)),4)</f>
        <v>1.1349</v>
      </c>
      <c r="AB16" s="1456">
        <f>ROUND(SUMPRODUCT(PRODUCT(1+Q16:Q$23)),4)</f>
        <v>1.0996999999999999</v>
      </c>
      <c r="AD16" s="1457">
        <f>ROUND(AVERAGE(I16:I$24)/100,4)</f>
        <v>1.67E-2</v>
      </c>
      <c r="AE16" s="1457">
        <f>ROUND(AVERAGE(J16:J$24)/100,4)</f>
        <v>1.38E-2</v>
      </c>
      <c r="AF16" s="1457">
        <f t="shared" si="1"/>
        <v>1.38E-2</v>
      </c>
      <c r="AG16" s="1457">
        <f>ROUND(AVERAGE(K16:K$24)/100,4)</f>
        <v>1.7899999999999999E-2</v>
      </c>
      <c r="AH16" s="1457">
        <f>ROUND(AVERAGE(L16:L$24)/100,4)</f>
        <v>1.21E-2</v>
      </c>
    </row>
    <row r="17" spans="1:34" ht="13.5" thickBot="1">
      <c r="A17" s="1458" t="s">
        <v>151</v>
      </c>
      <c r="B17" s="1466">
        <v>333</v>
      </c>
      <c r="C17" s="1466">
        <v>277</v>
      </c>
      <c r="D17" s="1466">
        <f t="shared" si="64"/>
        <v>277</v>
      </c>
      <c r="E17" s="1466">
        <v>459</v>
      </c>
      <c r="F17" s="1467">
        <v>249</v>
      </c>
      <c r="G17" s="3304">
        <v>2015</v>
      </c>
      <c r="H17" s="1479">
        <v>4</v>
      </c>
      <c r="I17" s="1479">
        <v>1.63</v>
      </c>
      <c r="J17" s="1479">
        <v>1.1100000000000001</v>
      </c>
      <c r="K17" s="1479">
        <v>1.77</v>
      </c>
      <c r="L17" s="1480">
        <v>1.89</v>
      </c>
      <c r="N17" s="1481">
        <f t="shared" si="66"/>
        <v>1.6299999999999999E-2</v>
      </c>
      <c r="O17" s="1482">
        <f t="shared" si="61"/>
        <v>1.11E-2</v>
      </c>
      <c r="P17" s="1482">
        <f t="shared" si="61"/>
        <v>1.77E-2</v>
      </c>
      <c r="Q17" s="1482">
        <f t="shared" si="61"/>
        <v>1.89E-2</v>
      </c>
      <c r="R17" s="1471"/>
      <c r="X17" s="1456">
        <f>ROUND(SUMPRODUCT(PRODUCT(1+N17:N$23)),4)</f>
        <v>1.0826</v>
      </c>
      <c r="Y17" s="1456">
        <f>ROUND(SUMPRODUCT(PRODUCT(1+O17:O$23)),4)</f>
        <v>1.0738000000000001</v>
      </c>
      <c r="Z17" s="1456">
        <f t="shared" si="0"/>
        <v>1.0738000000000001</v>
      </c>
      <c r="AA17" s="1456">
        <f>ROUND(SUMPRODUCT(PRODUCT(1+P17:P$23)),4)</f>
        <v>1.0855999999999999</v>
      </c>
      <c r="AB17" s="1456">
        <f>ROUND(SUMPRODUCT(PRODUCT(1+Q17:Q$23)),4)</f>
        <v>1.0837000000000001</v>
      </c>
      <c r="AD17" s="1457">
        <f>ROUND(AVERAGE(I17:I$24)/100,4)</f>
        <v>1.37E-2</v>
      </c>
      <c r="AE17" s="1457">
        <f>ROUND(AVERAGE(J17:J$24)/100,4)</f>
        <v>1.1900000000000001E-2</v>
      </c>
      <c r="AF17" s="1457">
        <f t="shared" si="1"/>
        <v>1.1900000000000001E-2</v>
      </c>
      <c r="AG17" s="1457">
        <f>ROUND(AVERAGE(K17:K$24)/100,4)</f>
        <v>1.4500000000000001E-2</v>
      </c>
      <c r="AH17" s="1457">
        <f>ROUND(AVERAGE(L17:L$24)/100,4)</f>
        <v>1.18E-2</v>
      </c>
    </row>
    <row r="18" spans="1:34">
      <c r="A18" s="1458" t="s">
        <v>150</v>
      </c>
      <c r="B18" s="1474">
        <f t="shared" ref="B18:C20" si="67">B17/(1+N17)</f>
        <v>327.65915576109415</v>
      </c>
      <c r="C18" s="1474">
        <f t="shared" si="67"/>
        <v>273.95905449510434</v>
      </c>
      <c r="D18" s="1474">
        <f t="shared" si="64"/>
        <v>273.95905449510434</v>
      </c>
      <c r="E18" s="1474">
        <f t="shared" ref="E18:F20" si="68">E17/(1+P17)</f>
        <v>451.01699911565294</v>
      </c>
      <c r="F18" s="1474">
        <f t="shared" si="68"/>
        <v>244.38119540681129</v>
      </c>
      <c r="G18" s="3305"/>
      <c r="H18" s="1484">
        <v>3</v>
      </c>
      <c r="I18" s="1484">
        <v>1.65</v>
      </c>
      <c r="J18" s="1484">
        <v>0.92</v>
      </c>
      <c r="K18" s="1484">
        <v>1.88</v>
      </c>
      <c r="L18" s="1485">
        <v>1.26</v>
      </c>
      <c r="N18" s="1469">
        <f t="shared" si="66"/>
        <v>1.6500000000000001E-2</v>
      </c>
      <c r="O18" s="1486">
        <f t="shared" si="61"/>
        <v>9.1999999999999998E-3</v>
      </c>
      <c r="P18" s="1486">
        <f t="shared" si="61"/>
        <v>1.8799999999999997E-2</v>
      </c>
      <c r="Q18" s="1486">
        <f t="shared" si="61"/>
        <v>1.26E-2</v>
      </c>
      <c r="R18" s="1471"/>
      <c r="S18" s="1469"/>
      <c r="T18" s="1470"/>
      <c r="U18" s="1470"/>
      <c r="V18" s="1470"/>
      <c r="X18" s="1456">
        <f>ROUND(SUMPRODUCT(PRODUCT(1+N18:N$23)),4)</f>
        <v>1.0651999999999999</v>
      </c>
      <c r="Y18" s="1456">
        <f>ROUND(SUMPRODUCT(PRODUCT(1+O18:O$23)),4)</f>
        <v>1.0621</v>
      </c>
      <c r="Z18" s="1456">
        <f t="shared" si="0"/>
        <v>1.0621</v>
      </c>
      <c r="AA18" s="1456">
        <f>ROUND(SUMPRODUCT(PRODUCT(1+P18:P$23)),4)</f>
        <v>1.0668</v>
      </c>
      <c r="AB18" s="1456">
        <f>ROUND(SUMPRODUCT(PRODUCT(1+Q18:Q$23)),4)</f>
        <v>1.0636000000000001</v>
      </c>
      <c r="AD18" s="1457">
        <f>ROUND(AVERAGE(I18:I$24)/100,4)</f>
        <v>1.3299999999999999E-2</v>
      </c>
      <c r="AE18" s="1457">
        <f>ROUND(AVERAGE(J18:J$24)/100,4)</f>
        <v>1.2E-2</v>
      </c>
      <c r="AF18" s="1457">
        <f t="shared" si="1"/>
        <v>1.2E-2</v>
      </c>
      <c r="AG18" s="1457">
        <f>ROUND(AVERAGE(K18:K$24)/100,4)</f>
        <v>1.4E-2</v>
      </c>
      <c r="AH18" s="1457">
        <f>ROUND(AVERAGE(L18:L$24)/100,4)</f>
        <v>1.0800000000000001E-2</v>
      </c>
    </row>
    <row r="19" spans="1:34">
      <c r="A19" s="1458" t="s">
        <v>149</v>
      </c>
      <c r="B19" s="1474">
        <f t="shared" si="67"/>
        <v>322.34053690220776</v>
      </c>
      <c r="C19" s="1474">
        <f t="shared" si="67"/>
        <v>271.46160770422546</v>
      </c>
      <c r="D19" s="1474">
        <f t="shared" si="64"/>
        <v>271.46160770422546</v>
      </c>
      <c r="E19" s="1474">
        <f t="shared" si="68"/>
        <v>442.69434542172456</v>
      </c>
      <c r="F19" s="1474">
        <f t="shared" si="68"/>
        <v>241.34030753190925</v>
      </c>
      <c r="G19" s="3305"/>
      <c r="H19" s="1462">
        <v>2</v>
      </c>
      <c r="I19" s="1462">
        <v>0.77</v>
      </c>
      <c r="J19" s="1462">
        <v>0.69</v>
      </c>
      <c r="K19" s="1462">
        <v>0.8</v>
      </c>
      <c r="L19" s="1476">
        <v>0.88</v>
      </c>
      <c r="N19" s="1469">
        <f t="shared" si="66"/>
        <v>7.7000000000000002E-3</v>
      </c>
      <c r="O19" s="1486">
        <f t="shared" si="61"/>
        <v>6.8999999999999999E-3</v>
      </c>
      <c r="P19" s="1486">
        <f t="shared" si="61"/>
        <v>8.0000000000000002E-3</v>
      </c>
      <c r="Q19" s="1486">
        <f t="shared" si="61"/>
        <v>8.8000000000000005E-3</v>
      </c>
      <c r="R19" s="1471"/>
      <c r="S19" s="1469"/>
      <c r="T19" s="1470"/>
      <c r="U19" s="1470"/>
      <c r="V19" s="1470"/>
      <c r="X19" s="1456">
        <f>ROUND(SUMPRODUCT(PRODUCT(1+N19:N$23)),4)</f>
        <v>1.048</v>
      </c>
      <c r="Y19" s="1456">
        <f>ROUND(SUMPRODUCT(PRODUCT(1+O19:O$23)),4)</f>
        <v>1.0524</v>
      </c>
      <c r="Z19" s="1456">
        <f t="shared" si="0"/>
        <v>1.0524</v>
      </c>
      <c r="AA19" s="1456">
        <f>ROUND(SUMPRODUCT(PRODUCT(1+P19:P$23)),4)</f>
        <v>1.0470999999999999</v>
      </c>
      <c r="AB19" s="1456">
        <f>ROUND(SUMPRODUCT(PRODUCT(1+Q19:Q$23)),4)</f>
        <v>1.0504</v>
      </c>
      <c r="AD19" s="1457">
        <f>ROUND(AVERAGE(I19:I$24)/100,4)</f>
        <v>1.2800000000000001E-2</v>
      </c>
      <c r="AE19" s="1457">
        <f>ROUND(AVERAGE(J19:J$24)/100,4)</f>
        <v>1.2500000000000001E-2</v>
      </c>
      <c r="AF19" s="1457">
        <f t="shared" si="1"/>
        <v>1.2500000000000001E-2</v>
      </c>
      <c r="AG19" s="1457">
        <f>ROUND(AVERAGE(K19:K$24)/100,4)</f>
        <v>1.32E-2</v>
      </c>
      <c r="AH19" s="1457">
        <f>ROUND(AVERAGE(L19:L$24)/100,4)</f>
        <v>1.0500000000000001E-2</v>
      </c>
    </row>
    <row r="20" spans="1:34">
      <c r="A20" s="1458" t="s">
        <v>148</v>
      </c>
      <c r="B20" s="1474">
        <f t="shared" si="67"/>
        <v>319.87748030386797</v>
      </c>
      <c r="C20" s="1474">
        <f t="shared" si="67"/>
        <v>269.60135833173649</v>
      </c>
      <c r="D20" s="1474">
        <f t="shared" si="64"/>
        <v>269.60135833173649</v>
      </c>
      <c r="E20" s="1474">
        <f t="shared" si="68"/>
        <v>439.18089823583784</v>
      </c>
      <c r="F20" s="1474">
        <f t="shared" si="68"/>
        <v>239.23503918706311</v>
      </c>
      <c r="G20" s="3306"/>
      <c r="H20" s="1461">
        <v>1</v>
      </c>
      <c r="I20" s="1461">
        <v>0.51</v>
      </c>
      <c r="J20" s="1461">
        <v>0.54</v>
      </c>
      <c r="K20" s="1461">
        <v>0.48</v>
      </c>
      <c r="L20" s="1475">
        <v>0.93</v>
      </c>
      <c r="N20" s="1477">
        <f t="shared" si="66"/>
        <v>5.1000000000000004E-3</v>
      </c>
      <c r="O20" s="1478">
        <f t="shared" si="61"/>
        <v>5.4000000000000003E-3</v>
      </c>
      <c r="P20" s="1478">
        <f t="shared" si="61"/>
        <v>4.7999999999999996E-3</v>
      </c>
      <c r="Q20" s="1478">
        <f t="shared" si="61"/>
        <v>9.300000000000001E-3</v>
      </c>
      <c r="R20" s="1471"/>
      <c r="S20" s="1477">
        <f>B20/B21-1</f>
        <v>5.9040261127922822E-3</v>
      </c>
      <c r="T20" s="1478">
        <f>C20/C21-1</f>
        <v>5.9752176557332781E-3</v>
      </c>
      <c r="U20" s="1478">
        <f>E20/E21-1</f>
        <v>4.9906138119859556E-3</v>
      </c>
      <c r="V20" s="1478">
        <f>F20/F21-1</f>
        <v>9.4305450930933787E-3</v>
      </c>
      <c r="X20" s="1456">
        <f>ROUND(SUMPRODUCT(PRODUCT(1+N20:N$23)),4)</f>
        <v>1.0399</v>
      </c>
      <c r="Y20" s="1456">
        <f>ROUND(SUMPRODUCT(PRODUCT(1+O20:O$23)),4)</f>
        <v>1.0451999999999999</v>
      </c>
      <c r="Z20" s="1456">
        <f t="shared" si="0"/>
        <v>1.0451999999999999</v>
      </c>
      <c r="AA20" s="1456">
        <f>ROUND(SUMPRODUCT(PRODUCT(1+P20:P$23)),4)</f>
        <v>1.0387999999999999</v>
      </c>
      <c r="AB20" s="1456">
        <f>ROUND(SUMPRODUCT(PRODUCT(1+Q20:Q$23)),4)</f>
        <v>1.0411999999999999</v>
      </c>
      <c r="AD20" s="1457">
        <f>ROUND(AVERAGE(I20:I$24)/100,4)</f>
        <v>1.38E-2</v>
      </c>
      <c r="AE20" s="1457">
        <f>ROUND(AVERAGE(J20:J$24)/100,4)</f>
        <v>1.3599999999999999E-2</v>
      </c>
      <c r="AF20" s="1457">
        <f t="shared" si="1"/>
        <v>1.3599999999999999E-2</v>
      </c>
      <c r="AG20" s="1457">
        <f>ROUND(AVERAGE(K20:K$24)/100,4)</f>
        <v>1.4200000000000001E-2</v>
      </c>
      <c r="AH20" s="1457">
        <f>ROUND(AVERAGE(L20:L$24)/100,4)</f>
        <v>1.0800000000000001E-2</v>
      </c>
    </row>
    <row r="21" spans="1:34" ht="13.5" thickBot="1">
      <c r="A21" s="1458" t="s">
        <v>147</v>
      </c>
      <c r="B21" s="1487">
        <v>318</v>
      </c>
      <c r="C21" s="1487">
        <v>268</v>
      </c>
      <c r="D21" s="1487">
        <f t="shared" si="64"/>
        <v>268</v>
      </c>
      <c r="E21" s="1487">
        <v>437</v>
      </c>
      <c r="F21" s="1488">
        <v>237</v>
      </c>
      <c r="G21" s="3304">
        <v>2014</v>
      </c>
      <c r="H21" s="1479">
        <v>4</v>
      </c>
      <c r="I21" s="1479">
        <v>0.21</v>
      </c>
      <c r="J21" s="1479">
        <v>0.41</v>
      </c>
      <c r="K21" s="1479">
        <v>0.12</v>
      </c>
      <c r="L21" s="1480">
        <v>0.89</v>
      </c>
      <c r="N21" s="1469">
        <f t="shared" si="66"/>
        <v>2.0999999999999999E-3</v>
      </c>
      <c r="O21" s="1470">
        <f t="shared" si="61"/>
        <v>4.0999999999999995E-3</v>
      </c>
      <c r="P21" s="1470">
        <f t="shared" si="61"/>
        <v>1.1999999999999999E-3</v>
      </c>
      <c r="Q21" s="1470">
        <f t="shared" si="61"/>
        <v>8.8999999999999999E-3</v>
      </c>
      <c r="R21" s="1471"/>
      <c r="S21" s="1472"/>
      <c r="T21" s="1473"/>
      <c r="U21" s="1473"/>
      <c r="V21" s="1473"/>
      <c r="X21" s="1456">
        <f>ROUND(SUMPRODUCT(PRODUCT(1+N21:N$23)),4)</f>
        <v>1.0347</v>
      </c>
      <c r="Y21" s="1456">
        <f>ROUND(SUMPRODUCT(PRODUCT(1+O21:O$23)),4)</f>
        <v>1.0395000000000001</v>
      </c>
      <c r="Z21" s="1456">
        <f t="shared" si="0"/>
        <v>1.0395000000000001</v>
      </c>
      <c r="AA21" s="1456">
        <f>ROUND(SUMPRODUCT(PRODUCT(1+P21:P$23)),4)</f>
        <v>1.0338000000000001</v>
      </c>
      <c r="AB21" s="1456">
        <f>ROUND(SUMPRODUCT(PRODUCT(1+Q21:Q$23)),4)</f>
        <v>1.0316000000000001</v>
      </c>
      <c r="AD21" s="1457">
        <f>ROUND(AVERAGE(I21:I$24)/100,4)</f>
        <v>1.6E-2</v>
      </c>
      <c r="AE21" s="1457">
        <f>ROUND(AVERAGE(J21:J$24)/100,4)</f>
        <v>1.5599999999999999E-2</v>
      </c>
      <c r="AF21" s="1457">
        <f t="shared" si="1"/>
        <v>1.5599999999999999E-2</v>
      </c>
      <c r="AG21" s="1457">
        <f>ROUND(AVERAGE(K21:K$24)/100,4)</f>
        <v>1.66E-2</v>
      </c>
      <c r="AH21" s="1457">
        <f>ROUND(AVERAGE(L21:L$24)/100,4)</f>
        <v>1.12E-2</v>
      </c>
    </row>
    <row r="22" spans="1:34">
      <c r="A22" s="1458" t="s">
        <v>146</v>
      </c>
      <c r="B22" s="1474">
        <f t="shared" ref="B22:C24" si="69">B21/(1+N21)</f>
        <v>317.33359944117353</v>
      </c>
      <c r="C22" s="1474">
        <f t="shared" si="69"/>
        <v>266.90568668459315</v>
      </c>
      <c r="D22" s="1474">
        <f t="shared" si="64"/>
        <v>266.90568668459315</v>
      </c>
      <c r="E22" s="1474">
        <f t="shared" ref="E22:F24" si="70">E21/(1+P21)</f>
        <v>436.47622852576905</v>
      </c>
      <c r="F22" s="1474">
        <f t="shared" si="70"/>
        <v>234.90930716622066</v>
      </c>
      <c r="G22" s="3305"/>
      <c r="H22" s="1489">
        <v>3</v>
      </c>
      <c r="I22" s="1489">
        <v>0.83</v>
      </c>
      <c r="J22" s="1489">
        <v>1.47</v>
      </c>
      <c r="K22" s="1489">
        <v>0.65</v>
      </c>
      <c r="L22" s="1490">
        <v>0.72</v>
      </c>
      <c r="N22" s="1469">
        <f t="shared" si="66"/>
        <v>8.3000000000000001E-3</v>
      </c>
      <c r="O22" s="1470">
        <f t="shared" si="61"/>
        <v>1.47E-2</v>
      </c>
      <c r="P22" s="1470">
        <f t="shared" si="61"/>
        <v>6.5000000000000006E-3</v>
      </c>
      <c r="Q22" s="1470">
        <f t="shared" si="61"/>
        <v>7.1999999999999998E-3</v>
      </c>
      <c r="R22" s="1471"/>
      <c r="S22" s="1469"/>
      <c r="T22" s="1470"/>
      <c r="U22" s="1470"/>
      <c r="V22" s="1470"/>
      <c r="X22" s="1456">
        <f>ROUND(SUMPRODUCT(PRODUCT(1+N22:N$23)),4)</f>
        <v>1.0325</v>
      </c>
      <c r="Y22" s="1456">
        <f>ROUND(SUMPRODUCT(PRODUCT(1+O22:O$23)),4)</f>
        <v>1.0353000000000001</v>
      </c>
      <c r="Z22" s="1456">
        <f t="shared" ref="Z22:Z23" si="71">Y22</f>
        <v>1.0353000000000001</v>
      </c>
      <c r="AA22" s="1456">
        <f>ROUND(SUMPRODUCT(PRODUCT(1+P22:P$23)),4)</f>
        <v>1.0326</v>
      </c>
      <c r="AB22" s="1456">
        <f>ROUND(SUMPRODUCT(PRODUCT(1+Q22:Q$23)),4)</f>
        <v>1.0225</v>
      </c>
      <c r="AD22" s="1457">
        <f>ROUND(AVERAGE(I22:I$24)/100,4)</f>
        <v>2.07E-2</v>
      </c>
      <c r="AE22" s="1457">
        <f>ROUND(AVERAGE(J22:J$24)/100,4)</f>
        <v>1.95E-2</v>
      </c>
      <c r="AF22" s="1457">
        <f t="shared" si="1"/>
        <v>1.95E-2</v>
      </c>
      <c r="AG22" s="1457">
        <f>ROUND(AVERAGE(K22:K$24)/100,4)</f>
        <v>2.1700000000000001E-2</v>
      </c>
      <c r="AH22" s="1457">
        <f>ROUND(AVERAGE(L22:L$24)/100,4)</f>
        <v>1.2E-2</v>
      </c>
    </row>
    <row r="23" spans="1:34" ht="13.5" thickBot="1">
      <c r="A23" s="1458" t="s">
        <v>145</v>
      </c>
      <c r="B23" s="1474">
        <f t="shared" si="69"/>
        <v>314.72141172386546</v>
      </c>
      <c r="C23" s="1474">
        <f t="shared" si="69"/>
        <v>263.03901319069001</v>
      </c>
      <c r="D23" s="1474">
        <f t="shared" si="64"/>
        <v>263.03901319069001</v>
      </c>
      <c r="E23" s="1474">
        <f t="shared" si="70"/>
        <v>433.65745506782821</v>
      </c>
      <c r="F23" s="1474">
        <f t="shared" si="70"/>
        <v>233.23005080045735</v>
      </c>
      <c r="G23" s="3305"/>
      <c r="H23" s="1479">
        <v>2</v>
      </c>
      <c r="I23" s="1479">
        <v>2.4</v>
      </c>
      <c r="J23" s="1479">
        <v>2.0299999999999998</v>
      </c>
      <c r="K23" s="1479">
        <v>2.59</v>
      </c>
      <c r="L23" s="1480">
        <v>1.52</v>
      </c>
      <c r="N23" s="1469">
        <f t="shared" si="66"/>
        <v>2.4E-2</v>
      </c>
      <c r="O23" s="1470">
        <f t="shared" si="61"/>
        <v>2.0299999999999999E-2</v>
      </c>
      <c r="P23" s="1470">
        <f t="shared" si="61"/>
        <v>2.5899999999999999E-2</v>
      </c>
      <c r="Q23" s="1470">
        <f t="shared" si="61"/>
        <v>1.52E-2</v>
      </c>
      <c r="R23" s="1471"/>
      <c r="S23" s="1469"/>
      <c r="T23" s="1470"/>
      <c r="U23" s="1470"/>
      <c r="V23" s="1470"/>
      <c r="X23" s="1456">
        <f>1+N23</f>
        <v>1.024</v>
      </c>
      <c r="Y23" s="1456">
        <f>1+O23</f>
        <v>1.0203</v>
      </c>
      <c r="Z23" s="1456">
        <f t="shared" si="71"/>
        <v>1.0203</v>
      </c>
      <c r="AA23" s="1456">
        <f>1+P23</f>
        <v>1.0259</v>
      </c>
      <c r="AB23" s="1456">
        <f>1+Q23</f>
        <v>1.0152000000000001</v>
      </c>
      <c r="AD23" s="1457">
        <f>ROUND(AVERAGE(I23:I$24)/100,4)</f>
        <v>2.69E-2</v>
      </c>
      <c r="AE23" s="1457">
        <f>ROUND(AVERAGE(J23:J$24)/100,4)</f>
        <v>2.1899999999999999E-2</v>
      </c>
      <c r="AF23" s="1457">
        <f t="shared" ref="AF23" si="72">AE23</f>
        <v>2.1899999999999999E-2</v>
      </c>
      <c r="AG23" s="1457">
        <f>ROUND(AVERAGE(K23:K$24)/100,4)</f>
        <v>2.9399999999999999E-2</v>
      </c>
      <c r="AH23" s="1457">
        <f>ROUND(AVERAGE(L23:L$24)/100,4)</f>
        <v>1.44E-2</v>
      </c>
    </row>
    <row r="24" spans="1:34" s="1495" customFormat="1" ht="13.5" thickBot="1">
      <c r="A24" s="1491" t="s">
        <v>144</v>
      </c>
      <c r="B24" s="1492">
        <f t="shared" si="69"/>
        <v>307.34512863658733</v>
      </c>
      <c r="C24" s="1492">
        <f t="shared" si="69"/>
        <v>257.80556031626975</v>
      </c>
      <c r="D24" s="1492">
        <f t="shared" si="64"/>
        <v>257.80556031626975</v>
      </c>
      <c r="E24" s="1492">
        <f t="shared" si="70"/>
        <v>422.70928459677179</v>
      </c>
      <c r="F24" s="1492">
        <f t="shared" si="70"/>
        <v>229.73803270336617</v>
      </c>
      <c r="G24" s="3306"/>
      <c r="H24" s="1493">
        <v>1</v>
      </c>
      <c r="I24" s="1493">
        <v>2.97</v>
      </c>
      <c r="J24" s="1493">
        <v>2.34</v>
      </c>
      <c r="K24" s="1493">
        <v>3.28</v>
      </c>
      <c r="L24" s="1494">
        <v>1.36</v>
      </c>
      <c r="N24" s="1496">
        <f t="shared" si="66"/>
        <v>2.9700000000000001E-2</v>
      </c>
      <c r="O24" s="1497">
        <f t="shared" si="61"/>
        <v>2.3399999999999997E-2</v>
      </c>
      <c r="P24" s="1497">
        <f t="shared" si="61"/>
        <v>3.2799999999999996E-2</v>
      </c>
      <c r="Q24" s="1497">
        <f t="shared" si="61"/>
        <v>1.3600000000000001E-2</v>
      </c>
      <c r="R24" s="1498"/>
      <c r="S24" s="1499">
        <f>B24/B25-1</f>
        <v>2.7910129219355539E-2</v>
      </c>
      <c r="T24" s="1500">
        <f>C24/C25-1</f>
        <v>2.3037937762975247E-2</v>
      </c>
      <c r="U24" s="1500">
        <f>E24/E25-1</f>
        <v>3.3519033243940788E-2</v>
      </c>
      <c r="V24" s="1500">
        <f>F24/F25-1</f>
        <v>1.2061818076502862E-2</v>
      </c>
      <c r="W24" s="1501" t="s">
        <v>1162</v>
      </c>
      <c r="X24" s="1502">
        <v>1</v>
      </c>
      <c r="Y24" s="1502">
        <v>1</v>
      </c>
      <c r="Z24" s="1502">
        <v>1</v>
      </c>
      <c r="AA24" s="1502">
        <v>1</v>
      </c>
      <c r="AB24" s="1502">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8" t="s">
        <v>1163</v>
      </c>
      <c r="B25" s="1466">
        <v>299</v>
      </c>
      <c r="C25" s="1466">
        <v>252</v>
      </c>
      <c r="D25" s="1466">
        <f t="shared" si="64"/>
        <v>252</v>
      </c>
      <c r="E25" s="1466">
        <v>409</v>
      </c>
      <c r="F25" s="1467">
        <v>227</v>
      </c>
      <c r="G25" s="3311">
        <v>2013</v>
      </c>
      <c r="H25" s="1503">
        <v>4</v>
      </c>
      <c r="I25" s="1503">
        <v>1.83</v>
      </c>
      <c r="J25" s="1503">
        <v>1.68</v>
      </c>
      <c r="K25" s="1503">
        <v>1.97</v>
      </c>
      <c r="L25" s="1504">
        <v>0.87</v>
      </c>
      <c r="N25" s="1481">
        <f t="shared" si="66"/>
        <v>1.83E-2</v>
      </c>
      <c r="O25" s="1482">
        <f t="shared" si="61"/>
        <v>1.6799999999999999E-2</v>
      </c>
      <c r="P25" s="1482">
        <f t="shared" si="61"/>
        <v>1.9699999999999999E-2</v>
      </c>
      <c r="Q25" s="1482">
        <f t="shared" si="61"/>
        <v>8.6999999999999994E-3</v>
      </c>
      <c r="R25" s="1471"/>
      <c r="S25" s="1472"/>
      <c r="T25" s="1473"/>
      <c r="U25" s="1473"/>
      <c r="V25" s="1473"/>
      <c r="X25" s="1473"/>
      <c r="Y25" s="1473"/>
      <c r="Z25" s="1473"/>
    </row>
    <row r="26" spans="1:34">
      <c r="A26" s="1458" t="s">
        <v>1164</v>
      </c>
      <c r="B26" s="1474">
        <f t="shared" ref="B26:C28" si="73">B25/(1+N25)</f>
        <v>293.62663262299913</v>
      </c>
      <c r="C26" s="1474">
        <f t="shared" si="73"/>
        <v>247.83634933123525</v>
      </c>
      <c r="D26" s="1474">
        <f t="shared" si="64"/>
        <v>247.83634933123525</v>
      </c>
      <c r="E26" s="1474">
        <f t="shared" ref="E26:F28" si="74">E25/(1+P25)</f>
        <v>401.09836226341076</v>
      </c>
      <c r="F26" s="1474">
        <f t="shared" si="74"/>
        <v>225.04213343908003</v>
      </c>
      <c r="G26" s="3312"/>
      <c r="H26" s="1484">
        <v>3</v>
      </c>
      <c r="I26" s="1484">
        <v>1.86</v>
      </c>
      <c r="J26" s="1484">
        <v>1.72</v>
      </c>
      <c r="K26" s="1484">
        <v>1.98</v>
      </c>
      <c r="L26" s="1485">
        <v>0.88</v>
      </c>
      <c r="N26" s="1469">
        <f t="shared" si="66"/>
        <v>1.8600000000000002E-2</v>
      </c>
      <c r="O26" s="1486">
        <f t="shared" si="61"/>
        <v>1.72E-2</v>
      </c>
      <c r="P26" s="1486">
        <f t="shared" si="61"/>
        <v>1.9799999999999998E-2</v>
      </c>
      <c r="Q26" s="1486">
        <f t="shared" si="61"/>
        <v>8.8000000000000005E-3</v>
      </c>
      <c r="R26" s="1471"/>
      <c r="S26" s="1469"/>
      <c r="T26" s="1470"/>
      <c r="U26" s="1470"/>
      <c r="V26" s="1470"/>
    </row>
    <row r="27" spans="1:34">
      <c r="A27" s="1458" t="s">
        <v>1165</v>
      </c>
      <c r="B27" s="1474">
        <f t="shared" si="73"/>
        <v>288.2649053828776</v>
      </c>
      <c r="C27" s="1474">
        <f t="shared" si="73"/>
        <v>243.64564425013293</v>
      </c>
      <c r="D27" s="1474">
        <f t="shared" si="64"/>
        <v>243.64564425013293</v>
      </c>
      <c r="E27" s="1474">
        <f t="shared" si="74"/>
        <v>393.31080825986544</v>
      </c>
      <c r="F27" s="1474">
        <f t="shared" si="74"/>
        <v>223.07903790551154</v>
      </c>
      <c r="G27" s="3312"/>
      <c r="H27" s="1462">
        <v>2</v>
      </c>
      <c r="I27" s="1462">
        <v>2.04</v>
      </c>
      <c r="J27" s="1462">
        <v>2.33</v>
      </c>
      <c r="K27" s="1462">
        <v>2.0699999999999998</v>
      </c>
      <c r="L27" s="1476">
        <v>0.69</v>
      </c>
      <c r="N27" s="1469">
        <f t="shared" si="66"/>
        <v>2.0400000000000001E-2</v>
      </c>
      <c r="O27" s="1486">
        <f t="shared" si="61"/>
        <v>2.3300000000000001E-2</v>
      </c>
      <c r="P27" s="1486">
        <f t="shared" si="61"/>
        <v>2.07E-2</v>
      </c>
      <c r="Q27" s="1486">
        <f t="shared" si="61"/>
        <v>6.8999999999999999E-3</v>
      </c>
      <c r="R27" s="1471"/>
      <c r="S27" s="1469"/>
      <c r="T27" s="1470"/>
      <c r="U27" s="1470"/>
      <c r="V27" s="1470"/>
      <c r="X27" s="1505"/>
      <c r="Y27" s="1506"/>
    </row>
    <row r="28" spans="1:34">
      <c r="A28" s="1458" t="s">
        <v>1166</v>
      </c>
      <c r="B28" s="1474">
        <f t="shared" si="73"/>
        <v>282.50186729015837</v>
      </c>
      <c r="C28" s="1474">
        <f t="shared" si="73"/>
        <v>238.09796174155468</v>
      </c>
      <c r="D28" s="1474">
        <f t="shared" si="64"/>
        <v>238.09796174155468</v>
      </c>
      <c r="E28" s="1474">
        <f t="shared" si="74"/>
        <v>385.33438646014054</v>
      </c>
      <c r="F28" s="1474">
        <f t="shared" si="74"/>
        <v>221.55034055567739</v>
      </c>
      <c r="G28" s="3313"/>
      <c r="H28" s="1461">
        <v>1</v>
      </c>
      <c r="I28" s="1461">
        <v>1.67</v>
      </c>
      <c r="J28" s="1461">
        <v>1.31</v>
      </c>
      <c r="K28" s="1461">
        <v>1.85</v>
      </c>
      <c r="L28" s="1475">
        <v>0.96</v>
      </c>
      <c r="N28" s="1477">
        <f t="shared" si="66"/>
        <v>1.67E-2</v>
      </c>
      <c r="O28" s="1478">
        <f t="shared" si="66"/>
        <v>1.3100000000000001E-2</v>
      </c>
      <c r="P28" s="1478">
        <f t="shared" si="66"/>
        <v>1.8500000000000003E-2</v>
      </c>
      <c r="Q28" s="1478">
        <f t="shared" si="66"/>
        <v>9.5999999999999992E-3</v>
      </c>
      <c r="R28" s="1471"/>
      <c r="S28" s="1477">
        <f>B28/B29-1</f>
        <v>1.6193767230785472E-2</v>
      </c>
      <c r="T28" s="1478">
        <f>C28/C29-1</f>
        <v>1.7512657015190891E-2</v>
      </c>
      <c r="U28" s="1478">
        <f>E28/E29-1</f>
        <v>1.6713420739157048E-2</v>
      </c>
      <c r="V28" s="1478">
        <f>F28/F29-1</f>
        <v>7.0470025258062563E-3</v>
      </c>
      <c r="X28" s="1507"/>
      <c r="Y28" s="1457"/>
      <c r="Z28" s="1457"/>
    </row>
    <row r="29" spans="1:34" ht="13.5" thickBot="1">
      <c r="A29" s="1458" t="s">
        <v>1167</v>
      </c>
      <c r="B29" s="1508">
        <v>278</v>
      </c>
      <c r="C29" s="1508">
        <v>234</v>
      </c>
      <c r="D29" s="1508">
        <f t="shared" si="64"/>
        <v>234</v>
      </c>
      <c r="E29" s="1508">
        <v>379</v>
      </c>
      <c r="F29" s="1509">
        <v>220</v>
      </c>
      <c r="G29" s="3304">
        <v>2012</v>
      </c>
      <c r="H29" s="1479">
        <v>4</v>
      </c>
      <c r="I29" s="1479">
        <v>0.91</v>
      </c>
      <c r="J29" s="1479">
        <v>0.68</v>
      </c>
      <c r="K29" s="1479">
        <v>0.98</v>
      </c>
      <c r="L29" s="1480">
        <v>0.9</v>
      </c>
      <c r="N29" s="1469">
        <f t="shared" si="66"/>
        <v>9.1000000000000004E-3</v>
      </c>
      <c r="O29" s="1470">
        <f t="shared" si="66"/>
        <v>6.8000000000000005E-3</v>
      </c>
      <c r="P29" s="1470">
        <f t="shared" si="66"/>
        <v>9.7999999999999997E-3</v>
      </c>
      <c r="Q29" s="1470">
        <f t="shared" si="66"/>
        <v>9.0000000000000011E-3</v>
      </c>
      <c r="R29" s="1471"/>
      <c r="S29" s="1472"/>
      <c r="T29" s="1473"/>
      <c r="U29" s="1473"/>
      <c r="V29" s="1473"/>
      <c r="X29" s="1473"/>
      <c r="Y29" s="1473"/>
      <c r="Z29" s="1473"/>
    </row>
    <row r="30" spans="1:34">
      <c r="A30" s="1458" t="s">
        <v>1168</v>
      </c>
      <c r="B30" s="1474">
        <f>B29/(1+N29)</f>
        <v>275.49301357645425</v>
      </c>
      <c r="C30" s="1474">
        <f>C29/(1+O29)</f>
        <v>232.41954707985698</v>
      </c>
      <c r="D30" s="1474">
        <f t="shared" si="64"/>
        <v>232.41954707985698</v>
      </c>
      <c r="E30" s="1474">
        <f t="shared" ref="E30:F32" si="75">E29/(1+P29)</f>
        <v>375.32184591008121</v>
      </c>
      <c r="F30" s="1474">
        <f t="shared" si="75"/>
        <v>218.03766105054513</v>
      </c>
      <c r="G30" s="3305"/>
      <c r="H30" s="1484">
        <v>3</v>
      </c>
      <c r="I30" s="1484">
        <v>0.09</v>
      </c>
      <c r="J30" s="1484">
        <v>0.28999999999999998</v>
      </c>
      <c r="K30" s="1484">
        <v>-0.01</v>
      </c>
      <c r="L30" s="1485">
        <v>0.57999999999999996</v>
      </c>
      <c r="N30" s="1469">
        <f t="shared" si="66"/>
        <v>8.9999999999999998E-4</v>
      </c>
      <c r="O30" s="1470">
        <f t="shared" si="66"/>
        <v>2.8999999999999998E-3</v>
      </c>
      <c r="P30" s="1470">
        <f t="shared" si="66"/>
        <v>-1E-4</v>
      </c>
      <c r="Q30" s="1470">
        <f t="shared" si="66"/>
        <v>5.7999999999999996E-3</v>
      </c>
      <c r="R30" s="1471"/>
      <c r="S30" s="1469"/>
      <c r="T30" s="1470"/>
      <c r="U30" s="1470"/>
      <c r="V30" s="1470"/>
    </row>
    <row r="31" spans="1:34">
      <c r="A31" s="1458" t="s">
        <v>1169</v>
      </c>
      <c r="B31" s="1474">
        <f>B30/(1+N30)</f>
        <v>275.24529281292263</v>
      </c>
      <c r="C31" s="1474">
        <f>C30/(1+O30)</f>
        <v>231.74747938962707</v>
      </c>
      <c r="D31" s="1474">
        <f t="shared" si="64"/>
        <v>231.74747938962707</v>
      </c>
      <c r="E31" s="1474">
        <f t="shared" si="75"/>
        <v>375.35938184826603</v>
      </c>
      <c r="F31" s="1474">
        <f t="shared" si="75"/>
        <v>216.78033510692495</v>
      </c>
      <c r="G31" s="3305"/>
      <c r="H31" s="1462">
        <v>2</v>
      </c>
      <c r="I31" s="1462">
        <v>0.02</v>
      </c>
      <c r="J31" s="1462">
        <v>0.12</v>
      </c>
      <c r="K31" s="1462">
        <v>-0.08</v>
      </c>
      <c r="L31" s="1476">
        <v>1.24</v>
      </c>
      <c r="N31" s="1469">
        <f t="shared" si="66"/>
        <v>2.0000000000000001E-4</v>
      </c>
      <c r="O31" s="1470">
        <f t="shared" si="66"/>
        <v>1.1999999999999999E-3</v>
      </c>
      <c r="P31" s="1470">
        <f t="shared" si="66"/>
        <v>-8.0000000000000004E-4</v>
      </c>
      <c r="Q31" s="1470">
        <f t="shared" si="66"/>
        <v>1.24E-2</v>
      </c>
      <c r="R31" s="1471"/>
      <c r="S31" s="1469"/>
      <c r="T31" s="1470"/>
      <c r="U31" s="1470"/>
      <c r="V31" s="1470"/>
    </row>
    <row r="32" spans="1:34" ht="13.5" thickBot="1">
      <c r="A32" s="1458" t="s">
        <v>1170</v>
      </c>
      <c r="B32" s="1474">
        <f>B31/(1+N31)</f>
        <v>275.19025476197027</v>
      </c>
      <c r="C32" s="1510">
        <v>232</v>
      </c>
      <c r="D32" s="1510">
        <f t="shared" si="64"/>
        <v>232</v>
      </c>
      <c r="E32" s="1474">
        <f t="shared" si="75"/>
        <v>375.65990977608692</v>
      </c>
      <c r="F32" s="1474">
        <f t="shared" si="75"/>
        <v>214.12518283971252</v>
      </c>
      <c r="G32" s="3306"/>
      <c r="H32" s="1461">
        <v>1</v>
      </c>
      <c r="I32" s="1461">
        <v>0.02</v>
      </c>
      <c r="J32" s="1461">
        <v>0.13</v>
      </c>
      <c r="K32" s="1461">
        <v>-0.04</v>
      </c>
      <c r="L32" s="1475">
        <v>0.46</v>
      </c>
      <c r="N32" s="1469">
        <f t="shared" si="66"/>
        <v>2.0000000000000001E-4</v>
      </c>
      <c r="O32" s="1470">
        <f t="shared" si="66"/>
        <v>1.2999999999999999E-3</v>
      </c>
      <c r="P32" s="1470">
        <f t="shared" si="66"/>
        <v>-4.0000000000000002E-4</v>
      </c>
      <c r="Q32" s="1470">
        <f t="shared" si="66"/>
        <v>4.5999999999999999E-3</v>
      </c>
      <c r="R32" s="1471"/>
      <c r="S32" s="1477">
        <f>B32/B33-1</f>
        <v>6.9183549807361189E-4</v>
      </c>
      <c r="T32" s="1478">
        <f>C32/C33-1</f>
        <v>0</v>
      </c>
      <c r="U32" s="1478">
        <f>E32/E33-1</f>
        <v>-9.0449527636460303E-4</v>
      </c>
      <c r="V32" s="1478">
        <f>F32/F33-1</f>
        <v>5.2825485432512753E-3</v>
      </c>
      <c r="X32" s="1457"/>
      <c r="Y32" s="1457"/>
      <c r="Z32" s="1457"/>
    </row>
    <row r="33" spans="1:26" ht="13.5" thickBot="1">
      <c r="A33" s="1458" t="s">
        <v>1171</v>
      </c>
      <c r="B33" s="1466">
        <v>275</v>
      </c>
      <c r="C33" s="1466">
        <v>232</v>
      </c>
      <c r="D33" s="1466">
        <f t="shared" si="64"/>
        <v>232</v>
      </c>
      <c r="E33" s="1466">
        <v>376</v>
      </c>
      <c r="F33" s="1467">
        <v>213</v>
      </c>
      <c r="G33" s="3304">
        <v>2011</v>
      </c>
      <c r="H33" s="1479">
        <v>4</v>
      </c>
      <c r="I33" s="1479">
        <v>-0.2</v>
      </c>
      <c r="J33" s="1479">
        <v>0.04</v>
      </c>
      <c r="K33" s="1479">
        <v>-0.34</v>
      </c>
      <c r="L33" s="1480">
        <v>0.46</v>
      </c>
      <c r="N33" s="1481">
        <f t="shared" si="66"/>
        <v>-2E-3</v>
      </c>
      <c r="O33" s="1482">
        <f t="shared" si="66"/>
        <v>4.0000000000000002E-4</v>
      </c>
      <c r="P33" s="1482">
        <f t="shared" si="66"/>
        <v>-3.4000000000000002E-3</v>
      </c>
      <c r="Q33" s="1482">
        <f t="shared" si="66"/>
        <v>4.5999999999999999E-3</v>
      </c>
      <c r="R33" s="1471"/>
      <c r="S33" s="1472"/>
      <c r="T33" s="1473"/>
      <c r="U33" s="1473"/>
      <c r="V33" s="1473"/>
      <c r="X33" s="1473"/>
      <c r="Y33" s="1473"/>
      <c r="Z33" s="1473"/>
    </row>
    <row r="34" spans="1:26">
      <c r="A34" s="1458" t="s">
        <v>1172</v>
      </c>
      <c r="B34" s="1474">
        <f t="shared" ref="B34:C36" si="76">B33/(1+N33)</f>
        <v>275.55110220440883</v>
      </c>
      <c r="C34" s="1474">
        <f t="shared" si="76"/>
        <v>231.90723710515795</v>
      </c>
      <c r="D34" s="1474">
        <f t="shared" si="64"/>
        <v>231.90723710515795</v>
      </c>
      <c r="E34" s="1474">
        <f t="shared" ref="E34:F36" si="77">E33/(1+P33)</f>
        <v>377.28276138872161</v>
      </c>
      <c r="F34" s="1474">
        <f t="shared" si="77"/>
        <v>212.02468644236512</v>
      </c>
      <c r="G34" s="3305">
        <v>2011</v>
      </c>
      <c r="H34" s="1484">
        <v>3</v>
      </c>
      <c r="I34" s="1484">
        <v>0.13</v>
      </c>
      <c r="J34" s="1484">
        <v>0.75</v>
      </c>
      <c r="K34" s="1484">
        <v>-0.08</v>
      </c>
      <c r="L34" s="1485">
        <v>0.53</v>
      </c>
      <c r="N34" s="1469">
        <f t="shared" si="66"/>
        <v>1.2999999999999999E-3</v>
      </c>
      <c r="O34" s="1486">
        <f t="shared" si="66"/>
        <v>7.4999999999999997E-3</v>
      </c>
      <c r="P34" s="1486">
        <f t="shared" si="66"/>
        <v>-8.0000000000000004E-4</v>
      </c>
      <c r="Q34" s="1486">
        <f t="shared" si="66"/>
        <v>5.3E-3</v>
      </c>
      <c r="R34" s="1471"/>
      <c r="S34" s="1469"/>
      <c r="T34" s="1470"/>
      <c r="U34" s="1470"/>
      <c r="V34" s="1470"/>
    </row>
    <row r="35" spans="1:26">
      <c r="A35" s="1458" t="s">
        <v>1173</v>
      </c>
      <c r="B35" s="1474">
        <f t="shared" si="76"/>
        <v>275.19335084830601</v>
      </c>
      <c r="C35" s="1474">
        <f t="shared" si="76"/>
        <v>230.18088050139744</v>
      </c>
      <c r="D35" s="1474">
        <f t="shared" si="64"/>
        <v>230.18088050139744</v>
      </c>
      <c r="E35" s="1474">
        <f t="shared" si="77"/>
        <v>377.58482925212331</v>
      </c>
      <c r="F35" s="1474">
        <f t="shared" si="77"/>
        <v>210.90687997847917</v>
      </c>
      <c r="G35" s="3305">
        <v>2011</v>
      </c>
      <c r="H35" s="1462">
        <v>2</v>
      </c>
      <c r="I35" s="1462">
        <v>-0.4</v>
      </c>
      <c r="J35" s="1462">
        <v>0.17</v>
      </c>
      <c r="K35" s="1462">
        <v>-0.57999999999999996</v>
      </c>
      <c r="L35" s="1476">
        <v>-0.2</v>
      </c>
      <c r="N35" s="1469">
        <f t="shared" si="66"/>
        <v>-4.0000000000000001E-3</v>
      </c>
      <c r="O35" s="1486">
        <f t="shared" si="66"/>
        <v>1.7000000000000001E-3</v>
      </c>
      <c r="P35" s="1486">
        <f t="shared" si="66"/>
        <v>-5.7999999999999996E-3</v>
      </c>
      <c r="Q35" s="1486">
        <f t="shared" si="66"/>
        <v>-2E-3</v>
      </c>
      <c r="R35" s="1471"/>
      <c r="S35" s="1469"/>
      <c r="T35" s="1470"/>
      <c r="U35" s="1470"/>
      <c r="V35" s="1470"/>
    </row>
    <row r="36" spans="1:26" ht="13.5" thickBot="1">
      <c r="A36" s="1458" t="s">
        <v>1174</v>
      </c>
      <c r="B36" s="1474">
        <f t="shared" si="76"/>
        <v>276.29854502841971</v>
      </c>
      <c r="C36" s="1474">
        <f t="shared" si="76"/>
        <v>229.79023709833027</v>
      </c>
      <c r="D36" s="1474">
        <f t="shared" si="64"/>
        <v>229.79023709833027</v>
      </c>
      <c r="E36" s="1474">
        <f t="shared" si="77"/>
        <v>379.78759731655936</v>
      </c>
      <c r="F36" s="1474">
        <f t="shared" si="77"/>
        <v>211.32953905659235</v>
      </c>
      <c r="G36" s="3306">
        <v>2011</v>
      </c>
      <c r="H36" s="1461">
        <v>1</v>
      </c>
      <c r="I36" s="1461">
        <v>2.65</v>
      </c>
      <c r="J36" s="1461">
        <v>3.76</v>
      </c>
      <c r="K36" s="1461">
        <v>1.89</v>
      </c>
      <c r="L36" s="1475">
        <v>7.95</v>
      </c>
      <c r="N36" s="1477">
        <f t="shared" si="66"/>
        <v>2.6499999999999999E-2</v>
      </c>
      <c r="O36" s="1478">
        <f t="shared" si="66"/>
        <v>3.7599999999999995E-2</v>
      </c>
      <c r="P36" s="1478">
        <f t="shared" si="66"/>
        <v>1.89E-2</v>
      </c>
      <c r="Q36" s="1478">
        <f t="shared" si="66"/>
        <v>7.9500000000000001E-2</v>
      </c>
      <c r="R36" s="1471"/>
      <c r="S36" s="1477">
        <f>B36/B37-1</f>
        <v>2.713213765211786E-2</v>
      </c>
      <c r="T36" s="1478">
        <f>C36/C37-1</f>
        <v>3.9774828499231862E-2</v>
      </c>
      <c r="U36" s="1478">
        <f>E36/E37-1</f>
        <v>1.8197311840641772E-2</v>
      </c>
      <c r="V36" s="1478">
        <f>F36/F37-1</f>
        <v>7.8211933962205826E-2</v>
      </c>
      <c r="X36" s="1457"/>
      <c r="Y36" s="1457"/>
      <c r="Z36" s="1457"/>
    </row>
    <row r="37" spans="1:26" ht="13.5" thickBot="1">
      <c r="A37" s="1458" t="s">
        <v>1175</v>
      </c>
      <c r="B37" s="1466">
        <v>269</v>
      </c>
      <c r="C37" s="1466">
        <v>221</v>
      </c>
      <c r="D37" s="1466">
        <f t="shared" si="64"/>
        <v>221</v>
      </c>
      <c r="E37" s="1466">
        <v>373</v>
      </c>
      <c r="F37" s="1467">
        <v>196</v>
      </c>
      <c r="G37" s="3304">
        <v>2010</v>
      </c>
      <c r="H37" s="1479">
        <v>4</v>
      </c>
      <c r="I37" s="1479">
        <v>5.72</v>
      </c>
      <c r="J37" s="1479">
        <v>6.57</v>
      </c>
      <c r="K37" s="1479">
        <v>5.72</v>
      </c>
      <c r="L37" s="1480">
        <v>2.72</v>
      </c>
      <c r="N37" s="1469">
        <f t="shared" si="66"/>
        <v>5.7200000000000001E-2</v>
      </c>
      <c r="O37" s="1470">
        <f t="shared" si="66"/>
        <v>6.5700000000000008E-2</v>
      </c>
      <c r="P37" s="1470">
        <f t="shared" si="66"/>
        <v>5.7200000000000001E-2</v>
      </c>
      <c r="Q37" s="1470">
        <f t="shared" si="66"/>
        <v>2.7200000000000002E-2</v>
      </c>
      <c r="R37" s="1471"/>
      <c r="S37" s="1472"/>
      <c r="T37" s="1473"/>
      <c r="U37" s="1473"/>
      <c r="V37" s="1473"/>
      <c r="X37" s="1473"/>
      <c r="Y37" s="1473"/>
      <c r="Z37" s="1473"/>
    </row>
    <row r="38" spans="1:26">
      <c r="A38" s="1458" t="s">
        <v>1176</v>
      </c>
      <c r="B38" s="1474">
        <f t="shared" ref="B38:C40" si="78">B37/(1+N37)</f>
        <v>254.44570563753314</v>
      </c>
      <c r="C38" s="1474">
        <f t="shared" si="78"/>
        <v>207.37543398705074</v>
      </c>
      <c r="D38" s="1474">
        <f t="shared" si="64"/>
        <v>207.37543398705074</v>
      </c>
      <c r="E38" s="1474">
        <f t="shared" ref="E38:F40" si="79">E37/(1+P37)</f>
        <v>352.81876655315932</v>
      </c>
      <c r="F38" s="1474">
        <f t="shared" si="79"/>
        <v>190.809968847352</v>
      </c>
      <c r="G38" s="3305">
        <v>2010</v>
      </c>
      <c r="H38" s="1484">
        <v>3</v>
      </c>
      <c r="I38" s="1484">
        <v>4.7300000000000004</v>
      </c>
      <c r="J38" s="1484">
        <v>3.9</v>
      </c>
      <c r="K38" s="1484">
        <v>5.03</v>
      </c>
      <c r="L38" s="1485">
        <v>4.21</v>
      </c>
      <c r="N38" s="1469">
        <f t="shared" si="66"/>
        <v>4.7300000000000002E-2</v>
      </c>
      <c r="O38" s="1470">
        <f t="shared" si="66"/>
        <v>3.9E-2</v>
      </c>
      <c r="P38" s="1470">
        <f t="shared" si="66"/>
        <v>5.0300000000000004E-2</v>
      </c>
      <c r="Q38" s="1470">
        <f t="shared" si="66"/>
        <v>4.2099999999999999E-2</v>
      </c>
      <c r="R38" s="1471"/>
      <c r="S38" s="1469"/>
      <c r="T38" s="1470"/>
      <c r="U38" s="1470"/>
      <c r="V38" s="1470"/>
    </row>
    <row r="39" spans="1:26">
      <c r="A39" s="1458" t="s">
        <v>1177</v>
      </c>
      <c r="B39" s="1474">
        <f t="shared" si="78"/>
        <v>242.95398227588385</v>
      </c>
      <c r="C39" s="1474">
        <f t="shared" si="78"/>
        <v>199.59137053614126</v>
      </c>
      <c r="D39" s="1474">
        <f t="shared" si="64"/>
        <v>199.59137053614126</v>
      </c>
      <c r="E39" s="1474">
        <f t="shared" si="79"/>
        <v>335.92189522342125</v>
      </c>
      <c r="F39" s="1474">
        <f t="shared" si="79"/>
        <v>183.10139991109489</v>
      </c>
      <c r="G39" s="3305">
        <v>2010</v>
      </c>
      <c r="H39" s="1462">
        <v>2</v>
      </c>
      <c r="I39" s="1462">
        <v>4.6900000000000004</v>
      </c>
      <c r="J39" s="1462">
        <v>3.55</v>
      </c>
      <c r="K39" s="1462">
        <v>5.07</v>
      </c>
      <c r="L39" s="1476">
        <v>4.2300000000000004</v>
      </c>
      <c r="N39" s="1469">
        <f t="shared" si="66"/>
        <v>4.6900000000000004E-2</v>
      </c>
      <c r="O39" s="1470">
        <f t="shared" si="66"/>
        <v>3.5499999999999997E-2</v>
      </c>
      <c r="P39" s="1470">
        <f t="shared" si="66"/>
        <v>5.0700000000000002E-2</v>
      </c>
      <c r="Q39" s="1470">
        <f t="shared" si="66"/>
        <v>4.2300000000000004E-2</v>
      </c>
      <c r="R39" s="1471"/>
      <c r="S39" s="1469"/>
      <c r="T39" s="1470"/>
      <c r="U39" s="1470"/>
      <c r="V39" s="1470"/>
    </row>
    <row r="40" spans="1:26" ht="13.5" thickBot="1">
      <c r="A40" s="1458" t="s">
        <v>1178</v>
      </c>
      <c r="B40" s="1474">
        <f t="shared" si="78"/>
        <v>232.06990378821649</v>
      </c>
      <c r="C40" s="1474">
        <f t="shared" si="78"/>
        <v>192.74878854286936</v>
      </c>
      <c r="D40" s="1474">
        <f t="shared" si="64"/>
        <v>192.74878854286936</v>
      </c>
      <c r="E40" s="1474">
        <f t="shared" si="79"/>
        <v>319.71247284992984</v>
      </c>
      <c r="F40" s="1474">
        <f t="shared" si="79"/>
        <v>175.67053622862409</v>
      </c>
      <c r="G40" s="3306">
        <v>2010</v>
      </c>
      <c r="H40" s="1461">
        <v>1</v>
      </c>
      <c r="I40" s="1461">
        <v>5.4</v>
      </c>
      <c r="J40" s="1461">
        <v>3.2</v>
      </c>
      <c r="K40" s="1461">
        <v>6.16</v>
      </c>
      <c r="L40" s="1475">
        <v>4.51</v>
      </c>
      <c r="N40" s="1469">
        <f t="shared" si="66"/>
        <v>5.4000000000000006E-2</v>
      </c>
      <c r="O40" s="1470">
        <f t="shared" si="66"/>
        <v>3.2000000000000001E-2</v>
      </c>
      <c r="P40" s="1470">
        <f t="shared" si="66"/>
        <v>6.1600000000000002E-2</v>
      </c>
      <c r="Q40" s="1470">
        <f t="shared" si="66"/>
        <v>4.5100000000000001E-2</v>
      </c>
      <c r="R40" s="1471"/>
      <c r="S40" s="1477">
        <f>B40/B41-1</f>
        <v>5.4863199037347599E-2</v>
      </c>
      <c r="T40" s="1478">
        <f>C40/C41-1</f>
        <v>3.0742184721226584E-2</v>
      </c>
      <c r="U40" s="1478">
        <f>E40/E41-1</f>
        <v>6.2167683886810154E-2</v>
      </c>
      <c r="V40" s="1478">
        <f>F40/F41-1</f>
        <v>4.5657953741810031E-2</v>
      </c>
      <c r="X40" s="1457"/>
      <c r="Y40" s="1457"/>
      <c r="Z40" s="1457"/>
    </row>
    <row r="41" spans="1:26" ht="13.5" thickBot="1">
      <c r="A41" s="1458" t="s">
        <v>1179</v>
      </c>
      <c r="B41" s="1466">
        <v>220</v>
      </c>
      <c r="C41" s="1466">
        <v>187</v>
      </c>
      <c r="D41" s="1466">
        <f t="shared" si="64"/>
        <v>187</v>
      </c>
      <c r="E41" s="1466">
        <v>301</v>
      </c>
      <c r="F41" s="1467">
        <v>168</v>
      </c>
      <c r="G41" s="3304">
        <v>2009</v>
      </c>
      <c r="H41" s="1479">
        <v>4</v>
      </c>
      <c r="I41" s="1479">
        <v>2.2999999999999998</v>
      </c>
      <c r="J41" s="1479">
        <v>1.04</v>
      </c>
      <c r="K41" s="1479">
        <v>2.84</v>
      </c>
      <c r="L41" s="1480">
        <v>0.67</v>
      </c>
      <c r="N41" s="1481">
        <f t="shared" si="66"/>
        <v>2.3E-2</v>
      </c>
      <c r="O41" s="1482">
        <f t="shared" si="66"/>
        <v>1.04E-2</v>
      </c>
      <c r="P41" s="1482">
        <f t="shared" si="66"/>
        <v>2.8399999999999998E-2</v>
      </c>
      <c r="Q41" s="1482">
        <f t="shared" si="66"/>
        <v>6.7000000000000002E-3</v>
      </c>
      <c r="R41" s="1471"/>
      <c r="S41" s="1472"/>
      <c r="T41" s="1473"/>
      <c r="U41" s="1473"/>
      <c r="V41" s="1473"/>
      <c r="X41" s="1473"/>
      <c r="Y41" s="1473"/>
      <c r="Z41" s="1473"/>
    </row>
    <row r="42" spans="1:26">
      <c r="A42" s="1458" t="s">
        <v>1180</v>
      </c>
      <c r="B42" s="1474">
        <f t="shared" ref="B42:C44" si="80">B41/(1+N41)</f>
        <v>215.05376344086022</v>
      </c>
      <c r="C42" s="1474">
        <f t="shared" si="80"/>
        <v>185.0752177355503</v>
      </c>
      <c r="D42" s="1474">
        <f t="shared" si="64"/>
        <v>185.0752177355503</v>
      </c>
      <c r="E42" s="1474">
        <f t="shared" ref="E42:F44" si="81">E41/(1+P41)</f>
        <v>292.68767016725008</v>
      </c>
      <c r="F42" s="1474">
        <f t="shared" si="81"/>
        <v>166.88189132810174</v>
      </c>
      <c r="G42" s="3305">
        <v>2009</v>
      </c>
      <c r="H42" s="1484">
        <v>3</v>
      </c>
      <c r="I42" s="1484">
        <v>2.1</v>
      </c>
      <c r="J42" s="1484">
        <v>1.86</v>
      </c>
      <c r="K42" s="1484">
        <v>2.29</v>
      </c>
      <c r="L42" s="1485">
        <v>0.85</v>
      </c>
      <c r="N42" s="1469">
        <f t="shared" si="66"/>
        <v>2.1000000000000001E-2</v>
      </c>
      <c r="O42" s="1486">
        <f t="shared" si="66"/>
        <v>1.8600000000000002E-2</v>
      </c>
      <c r="P42" s="1486">
        <f t="shared" si="66"/>
        <v>2.29E-2</v>
      </c>
      <c r="Q42" s="1486">
        <f t="shared" si="66"/>
        <v>8.5000000000000006E-3</v>
      </c>
      <c r="R42" s="1471"/>
      <c r="S42" s="1469"/>
      <c r="T42" s="1470"/>
      <c r="U42" s="1470"/>
      <c r="V42" s="1470"/>
    </row>
    <row r="43" spans="1:26">
      <c r="A43" s="1458" t="s">
        <v>1181</v>
      </c>
      <c r="B43" s="1474">
        <f t="shared" si="80"/>
        <v>210.630522469011</v>
      </c>
      <c r="C43" s="1474">
        <f t="shared" si="80"/>
        <v>181.69567812247232</v>
      </c>
      <c r="D43" s="1474">
        <f t="shared" si="64"/>
        <v>181.69567812247232</v>
      </c>
      <c r="E43" s="1474">
        <f t="shared" si="81"/>
        <v>286.13517466736738</v>
      </c>
      <c r="F43" s="1474">
        <f t="shared" si="81"/>
        <v>165.47535084591149</v>
      </c>
      <c r="G43" s="3305">
        <v>2009</v>
      </c>
      <c r="H43" s="1462">
        <v>2</v>
      </c>
      <c r="I43" s="1462">
        <v>0.86</v>
      </c>
      <c r="J43" s="1462">
        <v>-1.1299999999999999</v>
      </c>
      <c r="K43" s="1462">
        <v>1.79</v>
      </c>
      <c r="L43" s="1476">
        <v>-2.0699999999999998</v>
      </c>
      <c r="N43" s="1469">
        <f t="shared" si="66"/>
        <v>8.6E-3</v>
      </c>
      <c r="O43" s="1486">
        <f t="shared" si="66"/>
        <v>-1.1299999999999999E-2</v>
      </c>
      <c r="P43" s="1486">
        <f t="shared" si="66"/>
        <v>1.7899999999999999E-2</v>
      </c>
      <c r="Q43" s="1486">
        <f t="shared" si="66"/>
        <v>-2.07E-2</v>
      </c>
      <c r="R43" s="1471"/>
      <c r="S43" s="1469"/>
      <c r="T43" s="1470"/>
      <c r="U43" s="1470"/>
      <c r="V43" s="1470"/>
    </row>
    <row r="44" spans="1:26">
      <c r="A44" s="1458" t="s">
        <v>1182</v>
      </c>
      <c r="B44" s="1474">
        <f t="shared" si="80"/>
        <v>208.83454537875372</v>
      </c>
      <c r="C44" s="1474">
        <f t="shared" si="80"/>
        <v>183.77230517090351</v>
      </c>
      <c r="D44" s="1474">
        <f t="shared" si="64"/>
        <v>183.77230517090351</v>
      </c>
      <c r="E44" s="1474">
        <f t="shared" si="81"/>
        <v>281.10342338870947</v>
      </c>
      <c r="F44" s="1474">
        <f t="shared" si="81"/>
        <v>168.97309388942256</v>
      </c>
      <c r="G44" s="3306">
        <v>2009</v>
      </c>
      <c r="H44" s="1461">
        <v>1</v>
      </c>
      <c r="I44" s="1461">
        <v>-2.64</v>
      </c>
      <c r="J44" s="1461">
        <v>-2.5299999999999998</v>
      </c>
      <c r="K44" s="1461">
        <v>-3.02</v>
      </c>
      <c r="L44" s="1475">
        <v>1.52</v>
      </c>
      <c r="N44" s="1477">
        <f t="shared" si="66"/>
        <v>-2.64E-2</v>
      </c>
      <c r="O44" s="1478">
        <f t="shared" si="66"/>
        <v>-2.53E-2</v>
      </c>
      <c r="P44" s="1478">
        <f t="shared" si="66"/>
        <v>-3.0200000000000001E-2</v>
      </c>
      <c r="Q44" s="1478">
        <f t="shared" si="66"/>
        <v>1.52E-2</v>
      </c>
      <c r="R44" s="1471"/>
      <c r="S44" s="1477">
        <f>B44/B45-1</f>
        <v>-2.4137638417038754E-2</v>
      </c>
      <c r="T44" s="1478">
        <f>C44/C45-1</f>
        <v>-2.248773845264096E-2</v>
      </c>
      <c r="U44" s="1478">
        <f>E44/E45-1</f>
        <v>-2.7323794502735366E-2</v>
      </c>
      <c r="V44" s="1478">
        <f>F44/F45-1</f>
        <v>1.7910204153148035E-2</v>
      </c>
      <c r="X44" s="1457"/>
      <c r="Y44" s="1457"/>
      <c r="Z44" s="1457"/>
    </row>
    <row r="45" spans="1:26" ht="13.5" thickBot="1">
      <c r="A45" s="1458" t="s">
        <v>1183</v>
      </c>
      <c r="B45" s="1508">
        <v>214</v>
      </c>
      <c r="C45" s="1508">
        <v>188</v>
      </c>
      <c r="D45" s="1508">
        <f t="shared" si="64"/>
        <v>188</v>
      </c>
      <c r="E45" s="1508">
        <v>289</v>
      </c>
      <c r="F45" s="1509">
        <v>166</v>
      </c>
      <c r="G45" s="3304">
        <v>2008</v>
      </c>
      <c r="H45" s="1479">
        <v>4</v>
      </c>
      <c r="I45" s="1479">
        <v>1.73</v>
      </c>
      <c r="J45" s="1479">
        <v>0.03</v>
      </c>
      <c r="K45" s="1479">
        <v>2.59</v>
      </c>
      <c r="L45" s="1480">
        <v>-1.66</v>
      </c>
      <c r="N45" s="1469">
        <f t="shared" si="66"/>
        <v>1.7299999999999999E-2</v>
      </c>
      <c r="O45" s="1470">
        <f t="shared" si="66"/>
        <v>2.9999999999999997E-4</v>
      </c>
      <c r="P45" s="1470">
        <f t="shared" si="66"/>
        <v>2.5899999999999999E-2</v>
      </c>
      <c r="Q45" s="1470">
        <f t="shared" si="66"/>
        <v>-1.66E-2</v>
      </c>
      <c r="R45" s="1471"/>
      <c r="S45" s="1472"/>
      <c r="T45" s="1473"/>
      <c r="U45" s="1473"/>
      <c r="V45" s="1473"/>
      <c r="X45" s="1473"/>
      <c r="Y45" s="1473"/>
      <c r="Z45" s="1473"/>
    </row>
    <row r="46" spans="1:26">
      <c r="A46" s="1458" t="s">
        <v>1184</v>
      </c>
      <c r="B46" s="1474">
        <f t="shared" ref="B46:C48" si="82">B45/(1+N45)</f>
        <v>210.36075887152265</v>
      </c>
      <c r="C46" s="1474">
        <f t="shared" si="82"/>
        <v>187.94361691492554</v>
      </c>
      <c r="D46" s="1474">
        <f t="shared" si="64"/>
        <v>187.94361691492554</v>
      </c>
      <c r="E46" s="1474">
        <f t="shared" ref="E46:F48" si="83">E45/(1+P45)</f>
        <v>281.70386977288234</v>
      </c>
      <c r="F46" s="1474">
        <f t="shared" si="83"/>
        <v>168.80211511083994</v>
      </c>
      <c r="G46" s="3305">
        <v>2008</v>
      </c>
      <c r="H46" s="1484">
        <v>3</v>
      </c>
      <c r="I46" s="1484">
        <v>1.96</v>
      </c>
      <c r="J46" s="1484">
        <v>2.36</v>
      </c>
      <c r="K46" s="1484">
        <v>1.82</v>
      </c>
      <c r="L46" s="1485">
        <v>2.2200000000000002</v>
      </c>
      <c r="N46" s="1469">
        <f t="shared" si="66"/>
        <v>1.9599999999999999E-2</v>
      </c>
      <c r="O46" s="1470">
        <f t="shared" si="66"/>
        <v>2.3599999999999999E-2</v>
      </c>
      <c r="P46" s="1470">
        <f t="shared" si="66"/>
        <v>1.8200000000000001E-2</v>
      </c>
      <c r="Q46" s="1470">
        <f t="shared" si="66"/>
        <v>2.2200000000000001E-2</v>
      </c>
      <c r="R46" s="1471"/>
      <c r="S46" s="1469"/>
      <c r="T46" s="1470"/>
      <c r="U46" s="1470"/>
      <c r="V46" s="1470"/>
    </row>
    <row r="47" spans="1:26">
      <c r="A47" s="1458" t="s">
        <v>1185</v>
      </c>
      <c r="B47" s="1474">
        <f t="shared" si="82"/>
        <v>206.31694671589116</v>
      </c>
      <c r="C47" s="1474">
        <f t="shared" si="82"/>
        <v>183.61041121036101</v>
      </c>
      <c r="D47" s="1474">
        <f t="shared" si="64"/>
        <v>183.61041121036101</v>
      </c>
      <c r="E47" s="1474">
        <f t="shared" si="83"/>
        <v>276.66850301795557</v>
      </c>
      <c r="F47" s="1474">
        <f t="shared" si="83"/>
        <v>165.1360938278614</v>
      </c>
      <c r="G47" s="3305">
        <v>2008</v>
      </c>
      <c r="H47" s="1462">
        <v>2</v>
      </c>
      <c r="I47" s="1462">
        <v>4.93</v>
      </c>
      <c r="J47" s="1462">
        <v>7.38</v>
      </c>
      <c r="K47" s="1462">
        <v>3.98</v>
      </c>
      <c r="L47" s="1476">
        <v>6.86</v>
      </c>
      <c r="N47" s="1469">
        <f t="shared" si="66"/>
        <v>4.9299999999999997E-2</v>
      </c>
      <c r="O47" s="1470">
        <f t="shared" si="66"/>
        <v>7.3800000000000004E-2</v>
      </c>
      <c r="P47" s="1470">
        <f t="shared" si="66"/>
        <v>3.9800000000000002E-2</v>
      </c>
      <c r="Q47" s="1470">
        <f t="shared" si="66"/>
        <v>6.8600000000000008E-2</v>
      </c>
      <c r="R47" s="1471"/>
      <c r="S47" s="1469"/>
      <c r="T47" s="1470"/>
      <c r="U47" s="1470"/>
      <c r="V47" s="1470"/>
    </row>
    <row r="48" spans="1:26" s="1514" customFormat="1" ht="13.5" thickBot="1">
      <c r="A48" s="1458" t="s">
        <v>1186</v>
      </c>
      <c r="B48" s="1511">
        <f t="shared" si="82"/>
        <v>196.62341248059772</v>
      </c>
      <c r="C48" s="1511">
        <f t="shared" si="82"/>
        <v>170.99125648199012</v>
      </c>
      <c r="D48" s="1511">
        <f t="shared" si="64"/>
        <v>170.99125648199012</v>
      </c>
      <c r="E48" s="1511">
        <f t="shared" si="83"/>
        <v>266.07857570490052</v>
      </c>
      <c r="F48" s="1511">
        <f t="shared" si="83"/>
        <v>154.53499328828505</v>
      </c>
      <c r="G48" s="3306">
        <v>2008</v>
      </c>
      <c r="H48" s="1512">
        <v>1</v>
      </c>
      <c r="I48" s="1512">
        <v>4.1399999999999997</v>
      </c>
      <c r="J48" s="1512">
        <v>3.45</v>
      </c>
      <c r="K48" s="1512">
        <v>4.95</v>
      </c>
      <c r="L48" s="1513">
        <v>4.82</v>
      </c>
      <c r="N48" s="1515">
        <f t="shared" si="66"/>
        <v>4.1399999999999999E-2</v>
      </c>
      <c r="O48" s="1516">
        <f t="shared" si="66"/>
        <v>3.4500000000000003E-2</v>
      </c>
      <c r="P48" s="1516">
        <f t="shared" si="66"/>
        <v>4.9500000000000002E-2</v>
      </c>
      <c r="Q48" s="1516">
        <f t="shared" si="66"/>
        <v>4.82E-2</v>
      </c>
      <c r="R48" s="1517"/>
      <c r="S48" s="1515">
        <f>B48/B49-1</f>
        <v>4.5869215322328349E-2</v>
      </c>
      <c r="T48" s="1516">
        <f>C48/C49-1</f>
        <v>3.6310645345394743E-2</v>
      </c>
      <c r="U48" s="1516">
        <f>E48/E49-1</f>
        <v>4.7553447657088688E-2</v>
      </c>
      <c r="V48" s="1516">
        <f>F48/F49-1</f>
        <v>4.4155360055980086E-2</v>
      </c>
      <c r="X48" s="1518"/>
      <c r="Y48" s="1518"/>
      <c r="Z48" s="1518"/>
    </row>
    <row r="49" spans="1:26" ht="13.5" thickBot="1">
      <c r="A49" s="1458" t="s">
        <v>1187</v>
      </c>
      <c r="B49" s="1466">
        <v>188</v>
      </c>
      <c r="C49" s="1466">
        <v>165</v>
      </c>
      <c r="D49" s="1466">
        <f t="shared" si="64"/>
        <v>165</v>
      </c>
      <c r="E49" s="1466">
        <v>254</v>
      </c>
      <c r="F49" s="1467">
        <v>148</v>
      </c>
      <c r="G49" s="3304">
        <v>2007</v>
      </c>
      <c r="H49" s="1519">
        <v>4</v>
      </c>
      <c r="I49" s="1519">
        <v>5.51</v>
      </c>
      <c r="J49" s="1519">
        <v>4.8899999999999997</v>
      </c>
      <c r="K49" s="1519">
        <v>6.43</v>
      </c>
      <c r="L49" s="1520">
        <v>5.36</v>
      </c>
      <c r="N49" s="1521">
        <f t="shared" ref="N49:O52" si="84">B49/B50-1</f>
        <v>4.1339718365245526E-2</v>
      </c>
      <c r="O49" s="1522">
        <f t="shared" si="84"/>
        <v>4.0324492593776018E-2</v>
      </c>
      <c r="P49" s="1522">
        <f t="shared" ref="P49:Q52" si="85">E49/E50-1</f>
        <v>6.1625555347990968E-2</v>
      </c>
      <c r="Q49" s="1522">
        <f t="shared" si="85"/>
        <v>4.6757569250590603E-2</v>
      </c>
      <c r="R49" s="1471"/>
      <c r="S49" s="1472"/>
      <c r="T49" s="1473"/>
      <c r="U49" s="1473"/>
      <c r="V49" s="1473"/>
      <c r="X49" s="1473"/>
      <c r="Y49" s="1473"/>
      <c r="Z49" s="1473"/>
    </row>
    <row r="50" spans="1:26">
      <c r="A50" s="1458" t="s">
        <v>1188</v>
      </c>
      <c r="B50" s="1474">
        <f t="shared" ref="B50:C52" si="86">B51+(B$49-B$53)*I50/SUM(I$49:I$52)</f>
        <v>180.5366651097618</v>
      </c>
      <c r="C50" s="1474">
        <f t="shared" si="86"/>
        <v>158.60435967302453</v>
      </c>
      <c r="D50" s="1474">
        <f t="shared" si="64"/>
        <v>158.60435967302453</v>
      </c>
      <c r="E50" s="1474">
        <f t="shared" ref="E50:F52" si="87">E51+(E$49-E$53)*K50/SUM(K$49:K$52)</f>
        <v>239.25573260785075</v>
      </c>
      <c r="F50" s="1474">
        <f t="shared" si="87"/>
        <v>141.38899430740037</v>
      </c>
      <c r="G50" s="3305">
        <v>2007</v>
      </c>
      <c r="H50" s="1484">
        <v>3</v>
      </c>
      <c r="I50" s="1484">
        <v>8.65</v>
      </c>
      <c r="J50" s="1484">
        <v>8.06</v>
      </c>
      <c r="K50" s="1484">
        <v>9.94</v>
      </c>
      <c r="L50" s="1485">
        <v>5.8</v>
      </c>
      <c r="N50" s="1521">
        <f t="shared" si="84"/>
        <v>6.940217571740015E-2</v>
      </c>
      <c r="O50" s="1522">
        <f t="shared" si="84"/>
        <v>7.1197482471153428E-2</v>
      </c>
      <c r="P50" s="1522">
        <f t="shared" si="85"/>
        <v>0.10529679922579582</v>
      </c>
      <c r="Q50" s="1522">
        <f t="shared" si="85"/>
        <v>5.3292245059512133E-2</v>
      </c>
      <c r="R50" s="1471"/>
      <c r="S50" s="1469"/>
      <c r="T50" s="1470"/>
      <c r="U50" s="1470"/>
      <c r="V50" s="1470"/>
      <c r="X50" s="1523"/>
      <c r="Y50" s="1523"/>
      <c r="Z50" s="1523"/>
    </row>
    <row r="51" spans="1:26">
      <c r="A51" s="1458" t="s">
        <v>1189</v>
      </c>
      <c r="B51" s="1474">
        <f t="shared" si="86"/>
        <v>168.82017748715555</v>
      </c>
      <c r="C51" s="1474">
        <f t="shared" si="86"/>
        <v>148.06267029972753</v>
      </c>
      <c r="D51" s="1474">
        <f t="shared" si="64"/>
        <v>148.06267029972753</v>
      </c>
      <c r="E51" s="1474">
        <f t="shared" si="87"/>
        <v>216.46288379323747</v>
      </c>
      <c r="F51" s="1474">
        <f t="shared" si="87"/>
        <v>134.23529411764704</v>
      </c>
      <c r="G51" s="3305">
        <v>2007</v>
      </c>
      <c r="H51" s="1462">
        <v>2</v>
      </c>
      <c r="I51" s="1462">
        <v>3.67</v>
      </c>
      <c r="J51" s="1462">
        <v>2.3199999999999998</v>
      </c>
      <c r="K51" s="1462">
        <v>5.0199999999999996</v>
      </c>
      <c r="L51" s="1476">
        <v>6.71</v>
      </c>
      <c r="N51" s="1521">
        <f t="shared" si="84"/>
        <v>3.0339138143848032E-2</v>
      </c>
      <c r="O51" s="1522">
        <f t="shared" si="84"/>
        <v>2.0922341588790472E-2</v>
      </c>
      <c r="P51" s="1522">
        <f t="shared" si="85"/>
        <v>5.6164796592717003E-2</v>
      </c>
      <c r="Q51" s="1522">
        <f t="shared" si="85"/>
        <v>6.5704536723887319E-2</v>
      </c>
      <c r="R51" s="1471"/>
      <c r="S51" s="1469"/>
      <c r="T51" s="1470"/>
      <c r="U51" s="1470"/>
      <c r="V51" s="1470"/>
      <c r="X51" s="1523"/>
      <c r="Y51" s="1523"/>
      <c r="Z51" s="1523"/>
    </row>
    <row r="52" spans="1:26">
      <c r="A52" s="1458" t="s">
        <v>1190</v>
      </c>
      <c r="B52" s="1474">
        <f t="shared" si="86"/>
        <v>163.84913591779542</v>
      </c>
      <c r="C52" s="1474">
        <f t="shared" si="86"/>
        <v>145.0283378746594</v>
      </c>
      <c r="D52" s="1474">
        <f t="shared" si="64"/>
        <v>145.0283378746594</v>
      </c>
      <c r="E52" s="1474">
        <f t="shared" si="87"/>
        <v>204.95180722891567</v>
      </c>
      <c r="F52" s="1474">
        <f t="shared" si="87"/>
        <v>125.95920303605313</v>
      </c>
      <c r="G52" s="3306">
        <v>2007</v>
      </c>
      <c r="H52" s="1461">
        <v>1</v>
      </c>
      <c r="I52" s="1461">
        <v>3.58</v>
      </c>
      <c r="J52" s="1461">
        <v>3.08</v>
      </c>
      <c r="K52" s="1461">
        <v>4.34</v>
      </c>
      <c r="L52" s="1475">
        <v>3.21</v>
      </c>
      <c r="N52" s="1524">
        <f t="shared" si="84"/>
        <v>3.0497710174814063E-2</v>
      </c>
      <c r="O52" s="1525">
        <f t="shared" si="84"/>
        <v>2.8569772160704998E-2</v>
      </c>
      <c r="P52" s="1525">
        <f t="shared" si="85"/>
        <v>5.1034908866234296E-2</v>
      </c>
      <c r="Q52" s="1525">
        <f t="shared" si="85"/>
        <v>3.245248390207478E-2</v>
      </c>
      <c r="R52" s="1471"/>
      <c r="S52" s="1477">
        <f>B52/B53-1</f>
        <v>3.0497710174814063E-2</v>
      </c>
      <c r="T52" s="1478">
        <f>C52/C53-1</f>
        <v>2.8569772160704998E-2</v>
      </c>
      <c r="U52" s="1478">
        <f>E52/E53-1</f>
        <v>5.1034908866234296E-2</v>
      </c>
      <c r="V52" s="1478">
        <f>F52/F53-1</f>
        <v>3.245248390207478E-2</v>
      </c>
      <c r="X52" s="1523"/>
      <c r="Y52" s="1523"/>
      <c r="Z52" s="1523"/>
    </row>
    <row r="53" spans="1:26" ht="13.5" thickBot="1">
      <c r="A53" s="1458" t="s">
        <v>1191</v>
      </c>
      <c r="B53" s="1487">
        <v>159</v>
      </c>
      <c r="C53" s="1487">
        <v>141</v>
      </c>
      <c r="D53" s="1487">
        <f t="shared" si="64"/>
        <v>141</v>
      </c>
      <c r="E53" s="1487">
        <v>195</v>
      </c>
      <c r="F53" s="1488">
        <v>122</v>
      </c>
      <c r="G53" s="3304">
        <v>2006</v>
      </c>
      <c r="H53" s="1479">
        <v>4</v>
      </c>
      <c r="I53" s="1479">
        <v>3.79</v>
      </c>
      <c r="J53" s="1479">
        <v>2.21</v>
      </c>
      <c r="K53" s="1479">
        <v>5.65</v>
      </c>
      <c r="L53" s="1480">
        <v>5.41</v>
      </c>
      <c r="N53" s="1521">
        <f t="shared" ref="N53:O56" si="88">I53/SUM(I$53:I$56)*(B$53/B$57-1)</f>
        <v>7.245466462748526E-2</v>
      </c>
      <c r="O53" s="1522">
        <f t="shared" si="88"/>
        <v>2.3237230038062766E-2</v>
      </c>
      <c r="P53" s="1522">
        <f t="shared" ref="P53:Q56" si="89">K53/SUM(K$53:K$56)*(E$53/E$57-1)</f>
        <v>0.16146893866323722</v>
      </c>
      <c r="Q53" s="1522">
        <f t="shared" si="89"/>
        <v>5.0755230321793784E-2</v>
      </c>
      <c r="R53" s="1471"/>
      <c r="S53" s="1472"/>
      <c r="T53" s="1473"/>
      <c r="U53" s="1473"/>
      <c r="V53" s="1473"/>
      <c r="X53" s="1523"/>
      <c r="Y53" s="1523"/>
      <c r="Z53" s="1523"/>
    </row>
    <row r="54" spans="1:26">
      <c r="A54" s="1458" t="s">
        <v>1192</v>
      </c>
      <c r="B54" s="1474">
        <f t="shared" ref="B54:C56" si="90">B55+(B$53-B$57)*I54/SUM(I$53:I$56)</f>
        <v>149.00125628140702</v>
      </c>
      <c r="C54" s="1474">
        <f t="shared" si="90"/>
        <v>137.95592286501378</v>
      </c>
      <c r="D54" s="1474">
        <f t="shared" si="64"/>
        <v>137.95592286501378</v>
      </c>
      <c r="E54" s="1474">
        <f t="shared" ref="E54:F56" si="91">E55+(E$53-E$57)*K54/SUM(K$53:K$56)</f>
        <v>169.97231450719823</v>
      </c>
      <c r="F54" s="1474">
        <f t="shared" si="91"/>
        <v>116.21390374331551</v>
      </c>
      <c r="G54" s="3305">
        <v>2006</v>
      </c>
      <c r="H54" s="1484">
        <v>3</v>
      </c>
      <c r="I54" s="1484">
        <v>0.92</v>
      </c>
      <c r="J54" s="1484">
        <v>1.08</v>
      </c>
      <c r="K54" s="1484">
        <v>0.73</v>
      </c>
      <c r="L54" s="1485">
        <v>1.08</v>
      </c>
      <c r="N54" s="1521">
        <f t="shared" si="88"/>
        <v>1.7587939698492462E-2</v>
      </c>
      <c r="O54" s="1522">
        <f t="shared" si="88"/>
        <v>1.1355750425840628E-2</v>
      </c>
      <c r="P54" s="1522">
        <f t="shared" si="89"/>
        <v>2.0862358446754544E-2</v>
      </c>
      <c r="Q54" s="1522">
        <f t="shared" si="89"/>
        <v>1.0132282578103011E-2</v>
      </c>
      <c r="R54" s="1471"/>
      <c r="S54" s="1469"/>
      <c r="T54" s="1470"/>
      <c r="U54" s="1470"/>
      <c r="V54" s="1470"/>
      <c r="X54" s="1523"/>
      <c r="Y54" s="1523"/>
      <c r="Z54" s="1523"/>
    </row>
    <row r="55" spans="1:26">
      <c r="A55" s="1458" t="s">
        <v>1193</v>
      </c>
      <c r="B55" s="1474">
        <f t="shared" si="90"/>
        <v>146.57412060301507</v>
      </c>
      <c r="C55" s="1474">
        <f t="shared" si="90"/>
        <v>136.46831955922866</v>
      </c>
      <c r="D55" s="1474">
        <f t="shared" si="64"/>
        <v>136.46831955922866</v>
      </c>
      <c r="E55" s="1474">
        <f t="shared" si="91"/>
        <v>166.73864894795128</v>
      </c>
      <c r="F55" s="1474">
        <f t="shared" si="91"/>
        <v>115.05882352941177</v>
      </c>
      <c r="G55" s="3305">
        <v>2006</v>
      </c>
      <c r="H55" s="1462">
        <v>2</v>
      </c>
      <c r="I55" s="1462">
        <v>0.96</v>
      </c>
      <c r="J55" s="1462">
        <v>0.25</v>
      </c>
      <c r="K55" s="1462">
        <v>1.9</v>
      </c>
      <c r="L55" s="1476">
        <v>0.95</v>
      </c>
      <c r="N55" s="1521">
        <f t="shared" si="88"/>
        <v>1.8352632728861701E-2</v>
      </c>
      <c r="O55" s="1522">
        <f t="shared" si="88"/>
        <v>2.6286459319075526E-3</v>
      </c>
      <c r="P55" s="1522">
        <f t="shared" si="89"/>
        <v>5.4299289107991269E-2</v>
      </c>
      <c r="Q55" s="1522">
        <f t="shared" si="89"/>
        <v>8.9126559714794995E-3</v>
      </c>
      <c r="R55" s="1471"/>
      <c r="S55" s="1469"/>
      <c r="T55" s="1470"/>
      <c r="U55" s="1470"/>
      <c r="V55" s="1470"/>
      <c r="X55" s="1523"/>
      <c r="Y55" s="1523"/>
      <c r="Z55" s="1523"/>
    </row>
    <row r="56" spans="1:26">
      <c r="A56" s="1458" t="s">
        <v>1194</v>
      </c>
      <c r="B56" s="1474">
        <f t="shared" si="90"/>
        <v>144.04145728643215</v>
      </c>
      <c r="C56" s="1474">
        <f t="shared" si="90"/>
        <v>136.12396694214877</v>
      </c>
      <c r="D56" s="1474">
        <f t="shared" si="64"/>
        <v>136.12396694214877</v>
      </c>
      <c r="E56" s="1474">
        <f t="shared" si="91"/>
        <v>158.32225913621264</v>
      </c>
      <c r="F56" s="1474">
        <f t="shared" si="91"/>
        <v>114.04278074866311</v>
      </c>
      <c r="G56" s="3306">
        <v>2006</v>
      </c>
      <c r="H56" s="1461">
        <v>1</v>
      </c>
      <c r="I56" s="1461">
        <v>2.29</v>
      </c>
      <c r="J56" s="1461">
        <v>3.72</v>
      </c>
      <c r="K56" s="1461">
        <v>0.75</v>
      </c>
      <c r="L56" s="1475">
        <v>0.04</v>
      </c>
      <c r="N56" s="1524">
        <f t="shared" si="88"/>
        <v>4.3778675988638847E-2</v>
      </c>
      <c r="O56" s="1525">
        <f t="shared" si="88"/>
        <v>3.9114251466784385E-2</v>
      </c>
      <c r="P56" s="1525">
        <f t="shared" si="89"/>
        <v>2.1433929911049188E-2</v>
      </c>
      <c r="Q56" s="1525">
        <f t="shared" si="89"/>
        <v>3.7526972511492629E-4</v>
      </c>
      <c r="R56" s="1471"/>
      <c r="S56" s="1477">
        <f>B56/B57-1</f>
        <v>4.3778675988638716E-2</v>
      </c>
      <c r="T56" s="1478">
        <f>C56/C57-1</f>
        <v>3.91142514667846E-2</v>
      </c>
      <c r="U56" s="1478">
        <f>E56/E57-1</f>
        <v>2.143392991104931E-2</v>
      </c>
      <c r="V56" s="1478">
        <f>F56/F57-1</f>
        <v>3.7526972511492396E-4</v>
      </c>
      <c r="X56" s="1523"/>
      <c r="Y56" s="1523"/>
      <c r="Z56" s="1523"/>
    </row>
    <row r="57" spans="1:26" ht="13.5" thickBot="1">
      <c r="A57" s="1458" t="s">
        <v>1195</v>
      </c>
      <c r="B57" s="1487">
        <v>138</v>
      </c>
      <c r="C57" s="1487">
        <v>131</v>
      </c>
      <c r="D57" s="1487">
        <f t="shared" si="64"/>
        <v>131</v>
      </c>
      <c r="E57" s="1487">
        <v>155</v>
      </c>
      <c r="F57" s="1488">
        <v>114</v>
      </c>
      <c r="G57" s="3304">
        <v>2005</v>
      </c>
      <c r="H57" s="1479">
        <v>4</v>
      </c>
      <c r="I57" s="1479">
        <v>3.29</v>
      </c>
      <c r="J57" s="1479">
        <v>1.44</v>
      </c>
      <c r="K57" s="1479">
        <v>0.66</v>
      </c>
      <c r="L57" s="1480">
        <v>7.78</v>
      </c>
      <c r="N57" s="1521">
        <f t="shared" ref="N57:O60" si="92">I57/SUM(I$57:I$60)*(B$57/B$61-1)</f>
        <v>9.9404603216919935E-2</v>
      </c>
      <c r="O57" s="1522">
        <f t="shared" si="92"/>
        <v>4.7636550760861554E-2</v>
      </c>
      <c r="P57" s="1522">
        <f t="shared" ref="P57:Q60" si="93">K57/SUM(K$57:K$60)*(E$57/E$61-1)</f>
        <v>8.3756345177664976E-2</v>
      </c>
      <c r="Q57" s="1522">
        <f t="shared" si="93"/>
        <v>5.2148766661559584E-2</v>
      </c>
      <c r="R57" s="1471"/>
      <c r="S57" s="1472"/>
      <c r="T57" s="1473"/>
      <c r="U57" s="1473"/>
      <c r="V57" s="1473"/>
      <c r="X57" s="1523"/>
      <c r="Y57" s="1523"/>
      <c r="Z57" s="1523"/>
    </row>
    <row r="58" spans="1:26">
      <c r="A58" s="1458" t="s">
        <v>1196</v>
      </c>
      <c r="B58" s="1474">
        <f t="shared" ref="B58:C60" si="94">B59+(B$57-B$61)*I58/SUM(I$57:I$60)</f>
        <v>125.9720430107527</v>
      </c>
      <c r="C58" s="1474">
        <f t="shared" si="94"/>
        <v>125.1883408071749</v>
      </c>
      <c r="D58" s="1474">
        <f t="shared" si="64"/>
        <v>125.1883408071749</v>
      </c>
      <c r="E58" s="1474">
        <f t="shared" ref="E58:F60" si="95">E59+(E$57-E$61)*K58/SUM(K$57:K$60)</f>
        <v>144.61421319796952</v>
      </c>
      <c r="F58" s="1474">
        <f t="shared" si="95"/>
        <v>108.42008196721311</v>
      </c>
      <c r="G58" s="3305">
        <v>2005</v>
      </c>
      <c r="H58" s="1484">
        <v>3</v>
      </c>
      <c r="I58" s="1484">
        <v>0.46</v>
      </c>
      <c r="J58" s="1484">
        <v>0.32</v>
      </c>
      <c r="K58" s="1484">
        <v>0.42</v>
      </c>
      <c r="L58" s="1485">
        <v>0.64</v>
      </c>
      <c r="N58" s="1521">
        <f t="shared" si="92"/>
        <v>1.3898515951301874E-2</v>
      </c>
      <c r="O58" s="1522">
        <f t="shared" si="92"/>
        <v>1.0585900169080346E-2</v>
      </c>
      <c r="P58" s="1522">
        <f t="shared" si="93"/>
        <v>5.3299492385786795E-2</v>
      </c>
      <c r="Q58" s="1522">
        <f t="shared" si="93"/>
        <v>4.2898728359123568E-3</v>
      </c>
      <c r="R58" s="1471"/>
      <c r="S58" s="1469"/>
      <c r="T58" s="1470"/>
      <c r="U58" s="1470"/>
      <c r="V58" s="1470"/>
      <c r="X58" s="1523"/>
      <c r="Y58" s="1523"/>
      <c r="Z58" s="1523"/>
    </row>
    <row r="59" spans="1:26">
      <c r="A59" s="1458" t="s">
        <v>1197</v>
      </c>
      <c r="B59" s="1474">
        <f t="shared" si="94"/>
        <v>124.29032258064517</v>
      </c>
      <c r="C59" s="1474">
        <f t="shared" si="94"/>
        <v>123.8968609865471</v>
      </c>
      <c r="D59" s="1474">
        <f t="shared" si="64"/>
        <v>123.8968609865471</v>
      </c>
      <c r="E59" s="1474">
        <f t="shared" si="95"/>
        <v>138.00507614213197</v>
      </c>
      <c r="F59" s="1474">
        <f t="shared" si="95"/>
        <v>107.96106557377048</v>
      </c>
      <c r="G59" s="3305">
        <v>2005</v>
      </c>
      <c r="H59" s="1462">
        <v>2</v>
      </c>
      <c r="I59" s="1462">
        <v>0.47</v>
      </c>
      <c r="J59" s="1462">
        <v>0.1</v>
      </c>
      <c r="K59" s="1462">
        <v>0.52</v>
      </c>
      <c r="L59" s="1476">
        <v>0.79</v>
      </c>
      <c r="N59" s="1521">
        <f t="shared" si="92"/>
        <v>1.420065760241713E-2</v>
      </c>
      <c r="O59" s="1522">
        <f t="shared" si="92"/>
        <v>3.3080938028376083E-3</v>
      </c>
      <c r="P59" s="1522">
        <f t="shared" si="93"/>
        <v>6.598984771573603E-2</v>
      </c>
      <c r="Q59" s="1522">
        <f t="shared" si="93"/>
        <v>5.2953117818293153E-3</v>
      </c>
      <c r="R59" s="1471"/>
      <c r="S59" s="1469"/>
      <c r="T59" s="1470"/>
      <c r="U59" s="1470"/>
      <c r="V59" s="1470"/>
      <c r="X59" s="1523"/>
      <c r="Y59" s="1523"/>
      <c r="Z59" s="1523"/>
    </row>
    <row r="60" spans="1:26">
      <c r="A60" s="1458" t="s">
        <v>1198</v>
      </c>
      <c r="B60" s="1474">
        <f t="shared" si="94"/>
        <v>122.57204301075269</v>
      </c>
      <c r="C60" s="1474">
        <f t="shared" si="94"/>
        <v>123.4932735426009</v>
      </c>
      <c r="D60" s="1474">
        <f t="shared" si="64"/>
        <v>123.4932735426009</v>
      </c>
      <c r="E60" s="1474">
        <f t="shared" si="95"/>
        <v>129.82233502538071</v>
      </c>
      <c r="F60" s="1474">
        <f t="shared" si="95"/>
        <v>107.39446721311475</v>
      </c>
      <c r="G60" s="3306">
        <v>2005</v>
      </c>
      <c r="H60" s="1461">
        <v>1</v>
      </c>
      <c r="I60" s="1461">
        <v>0.43</v>
      </c>
      <c r="J60" s="1461">
        <v>0.37</v>
      </c>
      <c r="K60" s="1461">
        <v>0.37</v>
      </c>
      <c r="L60" s="1475">
        <v>0.55000000000000004</v>
      </c>
      <c r="N60" s="1524">
        <f t="shared" si="92"/>
        <v>1.2992090997956099E-2</v>
      </c>
      <c r="O60" s="1525">
        <f t="shared" si="92"/>
        <v>1.2239947070499151E-2</v>
      </c>
      <c r="P60" s="1525">
        <f t="shared" si="93"/>
        <v>4.6954314720812178E-2</v>
      </c>
      <c r="Q60" s="1525">
        <f t="shared" si="93"/>
        <v>3.6866094683621815E-3</v>
      </c>
      <c r="R60" s="1471"/>
      <c r="S60" s="1477">
        <f>B60/B61-1</f>
        <v>1.2992090997956174E-2</v>
      </c>
      <c r="T60" s="1478">
        <f>C60/C61-1</f>
        <v>1.2239947070499246E-2</v>
      </c>
      <c r="U60" s="1478">
        <f>E60/E61-1</f>
        <v>4.695431472081224E-2</v>
      </c>
      <c r="V60" s="1478">
        <f>F60/F61-1</f>
        <v>3.6866094683620787E-3</v>
      </c>
      <c r="X60" s="1523"/>
      <c r="Y60" s="1523"/>
      <c r="Z60" s="1523"/>
    </row>
    <row r="61" spans="1:26" ht="13.5" thickBot="1">
      <c r="A61" s="1458" t="s">
        <v>1199</v>
      </c>
      <c r="B61" s="1508">
        <v>121</v>
      </c>
      <c r="C61" s="1508">
        <v>122</v>
      </c>
      <c r="D61" s="1508">
        <f t="shared" si="64"/>
        <v>122</v>
      </c>
      <c r="E61" s="1508">
        <v>124</v>
      </c>
      <c r="F61" s="1509">
        <v>107</v>
      </c>
      <c r="G61" s="3304">
        <v>2004</v>
      </c>
      <c r="H61" s="1479">
        <v>4</v>
      </c>
      <c r="I61" s="1479">
        <v>0.33</v>
      </c>
      <c r="J61" s="1479">
        <v>0.5</v>
      </c>
      <c r="K61" s="1479">
        <v>0.5</v>
      </c>
      <c r="L61" s="1480">
        <v>0</v>
      </c>
      <c r="N61" s="1521">
        <f t="shared" ref="N61:O64" si="96">I61/SUM(I$61:I$64)*(B$61/B$65-1)</f>
        <v>1.3391770148526898E-2</v>
      </c>
      <c r="O61" s="1522">
        <f t="shared" si="96"/>
        <v>1.063264221158958E-2</v>
      </c>
      <c r="P61" s="1522">
        <f t="shared" ref="P61:Q64" si="97">K61/SUM(K$61:K$64)*(E$61/E$65-1)</f>
        <v>2.2244466688911134E-2</v>
      </c>
      <c r="Q61" s="1522">
        <f t="shared" si="97"/>
        <v>0</v>
      </c>
      <c r="R61" s="1471"/>
      <c r="S61" s="1472"/>
      <c r="T61" s="1473"/>
      <c r="U61" s="1473"/>
      <c r="V61" s="1473"/>
      <c r="X61" s="1523"/>
      <c r="Y61" s="1523"/>
      <c r="Z61" s="1523"/>
    </row>
    <row r="62" spans="1:26">
      <c r="A62" s="1458" t="s">
        <v>1200</v>
      </c>
      <c r="B62" s="1474">
        <f t="shared" ref="B62:C64" si="98">B63+(B$61-B$65)*I62/SUM(I$61:I$64)</f>
        <v>119.51351351351352</v>
      </c>
      <c r="C62" s="1474">
        <f t="shared" si="98"/>
        <v>120.7878787878788</v>
      </c>
      <c r="D62" s="1474">
        <f t="shared" si="64"/>
        <v>120.7878787878788</v>
      </c>
      <c r="E62" s="1474">
        <f t="shared" ref="E62:F64" si="99">E63+(E$61-E$65)*K62/SUM(K$61:K$64)</f>
        <v>121.5975975975976</v>
      </c>
      <c r="F62" s="1474">
        <f t="shared" si="99"/>
        <v>107</v>
      </c>
      <c r="G62" s="3305">
        <v>2004</v>
      </c>
      <c r="H62" s="1484">
        <v>3</v>
      </c>
      <c r="I62" s="1484">
        <v>0.56000000000000005</v>
      </c>
      <c r="J62" s="1484">
        <v>0.8</v>
      </c>
      <c r="K62" s="1484">
        <v>0.83</v>
      </c>
      <c r="L62" s="1485">
        <v>0.06</v>
      </c>
      <c r="N62" s="1521">
        <f t="shared" si="96"/>
        <v>2.2725428130833527E-2</v>
      </c>
      <c r="O62" s="1522">
        <f t="shared" si="96"/>
        <v>1.7012227538543329E-2</v>
      </c>
      <c r="P62" s="1522">
        <f t="shared" si="97"/>
        <v>3.6925814703592477E-2</v>
      </c>
      <c r="Q62" s="1522">
        <f t="shared" si="97"/>
        <v>2.8846153846153744E-2</v>
      </c>
      <c r="R62" s="1471"/>
      <c r="S62" s="1469"/>
      <c r="T62" s="1470"/>
      <c r="U62" s="1470"/>
      <c r="V62" s="1470"/>
      <c r="X62" s="1523"/>
      <c r="Y62" s="1523"/>
      <c r="Z62" s="1523"/>
    </row>
    <row r="63" spans="1:26">
      <c r="A63" s="1458" t="s">
        <v>1201</v>
      </c>
      <c r="B63" s="1474">
        <f t="shared" si="98"/>
        <v>116.99099099099099</v>
      </c>
      <c r="C63" s="1474">
        <f t="shared" si="98"/>
        <v>118.84848484848486</v>
      </c>
      <c r="D63" s="1474">
        <f t="shared" si="64"/>
        <v>118.84848484848486</v>
      </c>
      <c r="E63" s="1474">
        <f t="shared" si="99"/>
        <v>117.60960960960961</v>
      </c>
      <c r="F63" s="1474">
        <f t="shared" si="99"/>
        <v>104</v>
      </c>
      <c r="G63" s="3305">
        <v>2004</v>
      </c>
      <c r="H63" s="1462">
        <v>2</v>
      </c>
      <c r="I63" s="1462">
        <v>1</v>
      </c>
      <c r="J63" s="1462">
        <v>1.5</v>
      </c>
      <c r="K63" s="1462">
        <v>1.5</v>
      </c>
      <c r="L63" s="1476">
        <v>0</v>
      </c>
      <c r="N63" s="1521">
        <f t="shared" si="96"/>
        <v>4.0581121662202721E-2</v>
      </c>
      <c r="O63" s="1522">
        <f t="shared" si="96"/>
        <v>3.1897926634768738E-2</v>
      </c>
      <c r="P63" s="1522">
        <f t="shared" si="97"/>
        <v>6.6733400066733395E-2</v>
      </c>
      <c r="Q63" s="1522">
        <f t="shared" si="97"/>
        <v>0</v>
      </c>
      <c r="R63" s="1471"/>
      <c r="S63" s="1469"/>
      <c r="T63" s="1470"/>
      <c r="U63" s="1470"/>
      <c r="V63" s="1470"/>
      <c r="X63" s="1523"/>
      <c r="Y63" s="1523"/>
      <c r="Z63" s="1523"/>
    </row>
    <row r="64" spans="1:26" s="1514" customFormat="1" ht="13.5" thickBot="1">
      <c r="A64" s="1458" t="s">
        <v>1202</v>
      </c>
      <c r="B64" s="1511">
        <f t="shared" si="98"/>
        <v>112.48648648648648</v>
      </c>
      <c r="C64" s="1511">
        <f t="shared" si="98"/>
        <v>115.21212121212122</v>
      </c>
      <c r="D64" s="1511">
        <f t="shared" si="64"/>
        <v>115.21212121212122</v>
      </c>
      <c r="E64" s="1511">
        <f t="shared" si="99"/>
        <v>110.4024024024024</v>
      </c>
      <c r="F64" s="1511">
        <f t="shared" si="99"/>
        <v>104</v>
      </c>
      <c r="G64" s="3306">
        <v>2004</v>
      </c>
      <c r="H64" s="1512">
        <v>1</v>
      </c>
      <c r="I64" s="1512">
        <v>0.33</v>
      </c>
      <c r="J64" s="1512">
        <v>0.5</v>
      </c>
      <c r="K64" s="1512">
        <v>0.5</v>
      </c>
      <c r="L64" s="1513">
        <v>0</v>
      </c>
      <c r="N64" s="1526">
        <f t="shared" si="96"/>
        <v>1.3391770148526898E-2</v>
      </c>
      <c r="O64" s="1527">
        <f t="shared" si="96"/>
        <v>1.063264221158958E-2</v>
      </c>
      <c r="P64" s="1527">
        <f t="shared" si="97"/>
        <v>2.2244466688911134E-2</v>
      </c>
      <c r="Q64" s="1527">
        <f t="shared" si="97"/>
        <v>0</v>
      </c>
      <c r="R64" s="1517"/>
      <c r="S64" s="1515">
        <f>B64/B65-1</f>
        <v>1.3391770148526883E-2</v>
      </c>
      <c r="T64" s="1516">
        <f>C64/C65-1</f>
        <v>1.063264221158966E-2</v>
      </c>
      <c r="U64" s="1516">
        <f>E64/E65-1</f>
        <v>2.2244466688911224E-2</v>
      </c>
      <c r="V64" s="1516">
        <f>F64/F65-1</f>
        <v>0</v>
      </c>
      <c r="X64" s="1528"/>
      <c r="Y64" s="1528"/>
      <c r="Z64" s="1528"/>
    </row>
    <row r="65" spans="1:26" ht="13.5" thickBot="1">
      <c r="A65" s="1458" t="s">
        <v>1203</v>
      </c>
      <c r="B65" s="1529">
        <v>111</v>
      </c>
      <c r="C65" s="1529">
        <v>114</v>
      </c>
      <c r="D65" s="1529">
        <f t="shared" si="64"/>
        <v>114</v>
      </c>
      <c r="E65" s="1529">
        <v>108</v>
      </c>
      <c r="F65" s="1530">
        <v>104</v>
      </c>
      <c r="G65" s="3304">
        <v>2003</v>
      </c>
      <c r="H65" s="1519">
        <v>4</v>
      </c>
      <c r="I65" s="1531"/>
      <c r="J65" s="1531"/>
      <c r="K65" s="1531"/>
      <c r="L65" s="1531"/>
      <c r="N65" s="1532"/>
      <c r="O65" s="1531"/>
      <c r="P65" s="1531"/>
      <c r="Q65" s="1531"/>
      <c r="S65" s="1532"/>
      <c r="T65" s="1531"/>
      <c r="U65" s="1531"/>
      <c r="V65" s="1531"/>
      <c r="X65" s="1523"/>
      <c r="Y65" s="1523"/>
      <c r="Z65" s="1523"/>
    </row>
    <row r="66" spans="1:26">
      <c r="A66" s="1458" t="s">
        <v>1204</v>
      </c>
      <c r="B66" s="1533">
        <f t="shared" ref="B66:C68" si="100">B67+(B$65-B$69)/4</f>
        <v>109.75</v>
      </c>
      <c r="C66" s="1533">
        <f t="shared" si="100"/>
        <v>112.25</v>
      </c>
      <c r="D66" s="1533">
        <f t="shared" si="64"/>
        <v>112.25</v>
      </c>
      <c r="E66" s="1533">
        <f t="shared" ref="E66:F68" si="101">E67+(E$65-E$69)/4</f>
        <v>107.25</v>
      </c>
      <c r="F66" s="1533">
        <f t="shared" si="101"/>
        <v>103.5</v>
      </c>
      <c r="G66" s="3305">
        <v>2003</v>
      </c>
      <c r="H66" s="1484">
        <v>3</v>
      </c>
      <c r="I66" s="1531"/>
      <c r="J66" s="1531"/>
      <c r="K66" s="1531"/>
      <c r="L66" s="1531"/>
      <c r="X66" s="1523"/>
      <c r="Y66" s="1523"/>
      <c r="Z66" s="1523"/>
    </row>
    <row r="67" spans="1:26">
      <c r="A67" s="1458" t="s">
        <v>1205</v>
      </c>
      <c r="B67" s="1533">
        <f t="shared" si="100"/>
        <v>108.5</v>
      </c>
      <c r="C67" s="1533">
        <f t="shared" si="100"/>
        <v>110.5</v>
      </c>
      <c r="D67" s="1533">
        <f t="shared" si="64"/>
        <v>110.5</v>
      </c>
      <c r="E67" s="1533">
        <f t="shared" si="101"/>
        <v>106.5</v>
      </c>
      <c r="F67" s="1533">
        <f t="shared" si="101"/>
        <v>103</v>
      </c>
      <c r="G67" s="3305">
        <v>2003</v>
      </c>
      <c r="H67" s="1462">
        <v>2</v>
      </c>
      <c r="I67" s="1531"/>
      <c r="J67" s="1531"/>
      <c r="K67" s="1531"/>
      <c r="L67" s="1531"/>
      <c r="X67" s="1523"/>
      <c r="Y67" s="1523"/>
      <c r="Z67" s="1523"/>
    </row>
    <row r="68" spans="1:26" ht="13.5" thickBot="1">
      <c r="A68" s="1458" t="s">
        <v>1206</v>
      </c>
      <c r="B68" s="1533">
        <f t="shared" si="100"/>
        <v>107.25</v>
      </c>
      <c r="C68" s="1533">
        <f t="shared" si="100"/>
        <v>108.75</v>
      </c>
      <c r="D68" s="1533">
        <f t="shared" si="64"/>
        <v>108.75</v>
      </c>
      <c r="E68" s="1533">
        <f t="shared" si="101"/>
        <v>105.75</v>
      </c>
      <c r="F68" s="1533">
        <f t="shared" si="101"/>
        <v>102.5</v>
      </c>
      <c r="G68" s="3306">
        <v>2003</v>
      </c>
      <c r="H68" s="1534">
        <v>1</v>
      </c>
      <c r="I68" s="1531"/>
      <c r="J68" s="1531"/>
      <c r="K68" s="1531"/>
      <c r="L68" s="1531"/>
      <c r="S68" s="1469"/>
      <c r="T68" s="1470"/>
      <c r="U68" s="1470"/>
      <c r="X68" s="1523"/>
      <c r="Y68" s="1523"/>
      <c r="Z68" s="1523"/>
    </row>
    <row r="69" spans="1:26" ht="13.5" thickBot="1">
      <c r="A69" s="1458" t="s">
        <v>1207</v>
      </c>
      <c r="B69" s="1535">
        <v>106</v>
      </c>
      <c r="C69" s="1535">
        <v>107</v>
      </c>
      <c r="D69" s="1535">
        <f t="shared" si="64"/>
        <v>107</v>
      </c>
      <c r="E69" s="1535">
        <v>105</v>
      </c>
      <c r="F69" s="1536">
        <v>102</v>
      </c>
      <c r="G69" s="3304">
        <v>2002</v>
      </c>
      <c r="H69" s="1479">
        <v>4</v>
      </c>
      <c r="I69" s="1531"/>
      <c r="J69" s="1531"/>
      <c r="K69" s="1531"/>
      <c r="L69" s="1531"/>
      <c r="N69" s="1532"/>
      <c r="O69" s="1531"/>
      <c r="P69" s="1531"/>
      <c r="Q69" s="1531"/>
      <c r="S69" s="1532"/>
      <c r="T69" s="1531"/>
      <c r="U69" s="1531"/>
      <c r="V69" s="1531"/>
      <c r="X69" s="1523"/>
      <c r="Y69" s="1523"/>
      <c r="Z69" s="1523"/>
    </row>
    <row r="70" spans="1:26">
      <c r="A70" s="1458" t="s">
        <v>1208</v>
      </c>
      <c r="B70" s="1533">
        <f t="shared" ref="B70:C72" si="102">B71+(B$69-B$73)/4</f>
        <v>105</v>
      </c>
      <c r="C70" s="1533">
        <f t="shared" si="102"/>
        <v>106</v>
      </c>
      <c r="D70" s="1533">
        <f t="shared" si="64"/>
        <v>106</v>
      </c>
      <c r="E70" s="1533">
        <f t="shared" ref="E70:F72" si="103">E71+(E$69-E$73)/4</f>
        <v>104.5</v>
      </c>
      <c r="F70" s="1533">
        <f t="shared" si="103"/>
        <v>101.5</v>
      </c>
      <c r="G70" s="3305">
        <v>2002</v>
      </c>
      <c r="H70" s="1484">
        <v>3</v>
      </c>
      <c r="I70" s="1531"/>
      <c r="J70" s="1531"/>
      <c r="K70" s="1531"/>
      <c r="L70" s="1531"/>
      <c r="X70" s="1523"/>
      <c r="Y70" s="1523"/>
      <c r="Z70" s="1523"/>
    </row>
    <row r="71" spans="1:26">
      <c r="A71" s="1458" t="s">
        <v>1209</v>
      </c>
      <c r="B71" s="1533">
        <f t="shared" si="102"/>
        <v>104</v>
      </c>
      <c r="C71" s="1533">
        <f t="shared" si="102"/>
        <v>105</v>
      </c>
      <c r="D71" s="1533">
        <f t="shared" si="64"/>
        <v>105</v>
      </c>
      <c r="E71" s="1533">
        <f t="shared" si="103"/>
        <v>104</v>
      </c>
      <c r="F71" s="1533">
        <f t="shared" si="103"/>
        <v>101</v>
      </c>
      <c r="G71" s="3305">
        <v>2002</v>
      </c>
      <c r="H71" s="1462">
        <v>2</v>
      </c>
      <c r="I71" s="1531"/>
      <c r="J71" s="1531"/>
      <c r="K71" s="1531"/>
      <c r="L71" s="1531"/>
      <c r="X71" s="1523"/>
      <c r="Y71" s="1523"/>
      <c r="Z71" s="1523"/>
    </row>
    <row r="72" spans="1:26" s="1495" customFormat="1" ht="13.5" thickBot="1">
      <c r="A72" s="1491" t="s">
        <v>1210</v>
      </c>
      <c r="B72" s="1537">
        <f t="shared" si="102"/>
        <v>103</v>
      </c>
      <c r="C72" s="1537">
        <f t="shared" si="102"/>
        <v>104</v>
      </c>
      <c r="D72" s="1537">
        <f t="shared" si="64"/>
        <v>104</v>
      </c>
      <c r="E72" s="1537">
        <f t="shared" si="103"/>
        <v>103.5</v>
      </c>
      <c r="F72" s="1537">
        <f t="shared" si="103"/>
        <v>100.5</v>
      </c>
      <c r="G72" s="3306">
        <v>2002</v>
      </c>
      <c r="H72" s="1538">
        <v>1</v>
      </c>
      <c r="I72" s="1539"/>
      <c r="J72" s="1539"/>
      <c r="K72" s="1539"/>
      <c r="L72" s="1539"/>
      <c r="N72" s="1540"/>
      <c r="S72" s="1540"/>
      <c r="X72" s="1541"/>
      <c r="Y72" s="1541"/>
      <c r="Z72" s="1541"/>
    </row>
    <row r="73" spans="1:26" ht="13.5" thickBot="1">
      <c r="B73" s="1542">
        <v>102</v>
      </c>
      <c r="C73" s="1543">
        <v>103</v>
      </c>
      <c r="D73" s="1543">
        <f t="shared" si="64"/>
        <v>103</v>
      </c>
      <c r="E73" s="1543">
        <v>103</v>
      </c>
      <c r="F73" s="1544">
        <v>100</v>
      </c>
      <c r="I73" s="1531"/>
      <c r="J73" s="1531"/>
      <c r="K73" s="1531"/>
      <c r="L73" s="1531"/>
      <c r="N73" s="1532"/>
      <c r="O73" s="1531"/>
      <c r="P73" s="1531"/>
      <c r="Q73" s="1531"/>
      <c r="S73" s="1532"/>
      <c r="T73" s="1531"/>
      <c r="U73" s="1531"/>
      <c r="V73" s="1531"/>
      <c r="X73" s="1473"/>
      <c r="Y73" s="1473"/>
      <c r="Z73" s="1473"/>
    </row>
    <row r="75" spans="1:26" s="1546" customFormat="1">
      <c r="A75" s="1545" t="s">
        <v>1211</v>
      </c>
      <c r="G75" s="1547"/>
      <c r="N75" s="1547"/>
      <c r="S75" s="1547"/>
    </row>
    <row r="76" spans="1:26" s="1546" customFormat="1">
      <c r="A76" s="1546" t="s">
        <v>1212</v>
      </c>
      <c r="G76" s="1547"/>
      <c r="N76" s="1547"/>
      <c r="S76" s="1547"/>
    </row>
    <row r="77" spans="1:26" s="1546" customFormat="1">
      <c r="A77" s="1546" t="s">
        <v>1213</v>
      </c>
      <c r="G77" s="1547"/>
      <c r="I77" s="1548"/>
      <c r="J77" s="1548"/>
      <c r="K77" s="1548"/>
      <c r="L77" s="1548"/>
      <c r="N77" s="1549"/>
      <c r="O77" s="1548"/>
      <c r="P77" s="1548"/>
      <c r="Q77" s="1548"/>
      <c r="S77" s="1549"/>
      <c r="T77" s="1548"/>
      <c r="U77" s="1548"/>
      <c r="V77" s="1548"/>
    </row>
    <row r="78" spans="1:26" s="1546" customFormat="1">
      <c r="A78" s="1546" t="s">
        <v>1214</v>
      </c>
      <c r="G78" s="1547"/>
      <c r="N78" s="1547"/>
      <c r="S78" s="1547"/>
    </row>
    <row r="85" spans="7:22" ht="13.5" thickBot="1"/>
    <row r="86" spans="7:22">
      <c r="G86" s="1468"/>
      <c r="S86" s="1550" t="s">
        <v>1215</v>
      </c>
      <c r="T86" s="1551" t="s">
        <v>1216</v>
      </c>
      <c r="U86" s="1551" t="s">
        <v>1217</v>
      </c>
      <c r="V86" s="1551" t="s">
        <v>1218</v>
      </c>
    </row>
    <row r="87" spans="7:22">
      <c r="G87" s="1468"/>
      <c r="N87" s="1472"/>
      <c r="O87" s="1473"/>
      <c r="P87" s="1473"/>
      <c r="Q87" s="1473"/>
      <c r="S87" s="1552">
        <v>2006</v>
      </c>
      <c r="T87" s="1553">
        <v>15.1</v>
      </c>
      <c r="U87" s="1553">
        <v>7.43</v>
      </c>
      <c r="V87" s="1553">
        <v>26.26</v>
      </c>
    </row>
    <row r="88" spans="7:22">
      <c r="G88" s="1468"/>
      <c r="N88" s="1472"/>
      <c r="O88" s="1473"/>
      <c r="P88" s="1473"/>
      <c r="Q88" s="1473"/>
      <c r="S88" s="1554">
        <v>2005</v>
      </c>
      <c r="T88" s="1555">
        <v>13.9</v>
      </c>
      <c r="U88" s="1555">
        <v>7.49</v>
      </c>
      <c r="V88" s="1555">
        <v>24.92</v>
      </c>
    </row>
    <row r="89" spans="7:22">
      <c r="G89" s="1468"/>
      <c r="N89" s="1472"/>
      <c r="O89" s="1473"/>
      <c r="P89" s="1473"/>
      <c r="Q89" s="1473"/>
      <c r="S89" s="1552">
        <v>2004</v>
      </c>
      <c r="T89" s="1553">
        <v>9.48</v>
      </c>
      <c r="U89" s="1553">
        <v>7.2</v>
      </c>
      <c r="V89" s="1553">
        <v>14.68</v>
      </c>
    </row>
    <row r="90" spans="7:22">
      <c r="G90" s="1468"/>
      <c r="N90" s="1472"/>
      <c r="O90" s="1473"/>
      <c r="P90" s="1473"/>
      <c r="Q90" s="1473"/>
      <c r="S90" s="1554">
        <v>2003</v>
      </c>
      <c r="T90" s="1555">
        <v>4.5</v>
      </c>
      <c r="U90" s="1555">
        <v>6.12</v>
      </c>
      <c r="V90" s="1555">
        <v>2.34</v>
      </c>
    </row>
    <row r="91" spans="7:22" ht="13.5" thickBot="1">
      <c r="G91" s="1468"/>
      <c r="N91" s="1472"/>
      <c r="O91" s="1473"/>
      <c r="P91" s="1473"/>
      <c r="Q91" s="1473"/>
      <c r="S91" s="1556">
        <v>2002</v>
      </c>
      <c r="T91" s="1557">
        <v>3.59</v>
      </c>
      <c r="U91" s="1557">
        <v>4.54</v>
      </c>
      <c r="V91" s="1557">
        <v>2.5499999999999998</v>
      </c>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8.875" defaultRowHeight="12.75"/>
  <cols>
    <col min="1" max="1" width="11.5" style="138"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1"/>
    <col min="19" max="19" width="8.875" style="138"/>
    <col min="20" max="45" width="8.875" style="794"/>
    <col min="46" max="16384" width="8.875" style="138"/>
  </cols>
  <sheetData>
    <row r="1" spans="1:45" ht="14.25" customHeight="1" thickBot="1">
      <c r="A1" s="154"/>
      <c r="B1" s="1202" t="s">
        <v>2997</v>
      </c>
      <c r="C1" s="3315" t="s">
        <v>2998</v>
      </c>
      <c r="D1" s="3316"/>
      <c r="E1" s="3316"/>
      <c r="F1" s="3316"/>
      <c r="G1" s="3316"/>
      <c r="H1" s="3316"/>
      <c r="I1" s="3316"/>
      <c r="J1" s="3316"/>
      <c r="K1" s="3316"/>
      <c r="L1" s="3316"/>
      <c r="M1" s="3316"/>
      <c r="N1" s="3316"/>
      <c r="O1" s="3316"/>
      <c r="P1" s="3316"/>
      <c r="Q1" s="3316"/>
      <c r="R1" s="3316"/>
      <c r="S1" s="3317"/>
      <c r="T1" s="1202" t="s">
        <v>2999</v>
      </c>
    </row>
    <row r="2" spans="1:45" s="706" customFormat="1">
      <c r="A2" s="1203"/>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4"/>
      <c r="G4" s="1704"/>
      <c r="H4" s="1704"/>
      <c r="I4" s="1704"/>
      <c r="J4" s="1704"/>
      <c r="K4" s="1704"/>
      <c r="L4" s="1704"/>
      <c r="M4" s="1705"/>
      <c r="N4" s="1705"/>
      <c r="O4" s="1704"/>
      <c r="P4" s="1704"/>
      <c r="Q4" s="1704"/>
      <c r="R4" s="1704"/>
      <c r="S4" s="1706"/>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5" t="s">
        <v>3001</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6" t="s">
        <v>3002</v>
      </c>
      <c r="C7" s="1119"/>
      <c r="D7" s="1113"/>
      <c r="E7" s="1113"/>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6" t="s">
        <v>3003</v>
      </c>
      <c r="C9" s="1119"/>
      <c r="D9" s="1113"/>
      <c r="E9" s="1113"/>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5" t="s">
        <v>3004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5" t="s">
        <v>3005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5" t="s">
        <v>3006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3007</v>
      </c>
      <c r="B17" s="2907"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8" t="s">
        <v>3009</v>
      </c>
      <c r="E19" s="1788"/>
      <c r="F19" s="1788"/>
      <c r="G19" s="1788"/>
      <c r="H19" s="1278"/>
      <c r="I19" s="167"/>
      <c r="J19" s="167"/>
      <c r="K19" s="167"/>
      <c r="L19" s="167"/>
      <c r="M19" s="167"/>
      <c r="N19" s="167"/>
      <c r="O19" s="167"/>
      <c r="P19" s="167"/>
      <c r="Q19" s="167"/>
      <c r="R19" s="787"/>
      <c r="S19" s="137"/>
    </row>
    <row r="20" spans="1:45" ht="16.5" thickBot="1">
      <c r="A20" s="714" t="s">
        <v>3010</v>
      </c>
      <c r="B20" s="337" t="e">
        <f ca="1">IF(D20="——",S22,S22-F20)</f>
        <v>#REF!</v>
      </c>
      <c r="C20" s="167"/>
      <c r="D20" s="2909" t="s">
        <v>3011</v>
      </c>
      <c r="E20" s="1789"/>
      <c r="F20" s="1202" t="e">
        <f ca="1">SUMIF(INDIRECT("'"&amp;H20&amp;"'"&amp;"!A:A"),"承租人权益价值",INDIRECT("'"&amp;H20&amp;"'"&amp;"!c:c"))</f>
        <v>#REF!</v>
      </c>
      <c r="G20" s="1202" t="s">
        <v>3012</v>
      </c>
      <c r="H20" s="2910"/>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75" t="s">
        <v>33</v>
      </c>
      <c r="D22" s="3176"/>
      <c r="E22" s="3176"/>
      <c r="F22" s="3176"/>
      <c r="G22" s="3176"/>
      <c r="H22" s="3176"/>
      <c r="I22" s="3176"/>
      <c r="J22" s="3176"/>
      <c r="K22" s="3176"/>
      <c r="L22" s="3176"/>
      <c r="M22" s="3176"/>
      <c r="N22" s="3176"/>
      <c r="O22" s="3176"/>
      <c r="P22" s="3176"/>
      <c r="Q22" s="3314"/>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1641</v>
      </c>
      <c r="B2" s="3010" t="s">
        <v>1642</v>
      </c>
      <c r="C2" s="3010" t="s">
        <v>1643</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2" t="s">
        <v>1638</v>
      </c>
      <c r="E3" s="1042" t="s">
        <v>1644</v>
      </c>
      <c r="F3" s="1042" t="s">
        <v>1638</v>
      </c>
      <c r="G3" s="1042" t="s">
        <v>1639</v>
      </c>
      <c r="H3" s="1042" t="s">
        <v>1638</v>
      </c>
      <c r="I3" s="1042" t="s">
        <v>1639</v>
      </c>
    </row>
    <row r="4" spans="1:9" ht="60">
      <c r="A4" s="1969" t="str">
        <f>项目基本情况!S2</f>
        <v>海南省海口市琼山区红城湖片区棚改项目D11-1地块出让国有建设用地使用权及在建建筑物房地产</v>
      </c>
      <c r="B4" s="1042">
        <f>项目基本情况!C17</f>
        <v>135929.18</v>
      </c>
      <c r="C4" s="1042">
        <f>项目基本情况!C18</f>
        <v>30136.12</v>
      </c>
      <c r="D4" s="1042">
        <f ca="1">结果表!D118</f>
        <v>89132</v>
      </c>
      <c r="E4" s="1042">
        <f ca="1">结果表!E118</f>
        <v>6557</v>
      </c>
      <c r="F4" s="1042">
        <f ca="1">结果表!F118</f>
        <v>2285</v>
      </c>
      <c r="G4" s="1042">
        <f ca="1">结果表!G118</f>
        <v>168</v>
      </c>
      <c r="H4" s="1042">
        <f ca="1">结果表!H118</f>
        <v>91417</v>
      </c>
      <c r="I4" s="1042">
        <f ca="1">结果表!I118</f>
        <v>6725</v>
      </c>
    </row>
    <row r="5" spans="1:9" ht="30" customHeight="1">
      <c r="A5" s="3004" t="s">
        <v>1640</v>
      </c>
      <c r="B5" s="3004"/>
      <c r="C5" s="3004"/>
      <c r="D5" s="3005" t="str">
        <f ca="1">结果表!D119</f>
        <v>捌亿玖仟壹佰叁拾贰万元整</v>
      </c>
      <c r="E5" s="3005"/>
      <c r="F5" s="3005" t="str">
        <f ca="1">结果表!F119</f>
        <v>贰仟贰佰捌拾伍万元整</v>
      </c>
      <c r="G5" s="3005"/>
      <c r="H5" s="3005" t="str">
        <f ca="1">结果表!H119</f>
        <v>玖亿壹仟肆佰壹拾柒万元整</v>
      </c>
      <c r="I5" s="3005"/>
    </row>
    <row r="6" spans="1:9" ht="15.75">
      <c r="A6" s="3003" t="str">
        <f>结果表!A120</f>
        <v>估价师知悉的法定优先受偿款</v>
      </c>
      <c r="B6" s="3003"/>
      <c r="C6" s="3003"/>
      <c r="D6" s="3003">
        <f>结果表!D120</f>
        <v>413</v>
      </c>
      <c r="E6" s="3003"/>
      <c r="F6" s="3003"/>
      <c r="G6" s="3003"/>
      <c r="H6" s="3003"/>
      <c r="I6" s="3003"/>
    </row>
    <row r="7" spans="1:9" ht="15">
      <c r="A7" s="3004" t="s">
        <v>1640</v>
      </c>
      <c r="B7" s="3004"/>
      <c r="C7" s="3004"/>
      <c r="D7" s="3006" t="str">
        <f>结果表!D121</f>
        <v>肆佰壹拾叁万元整</v>
      </c>
      <c r="E7" s="3007"/>
      <c r="F7" s="3007"/>
      <c r="G7" s="3007"/>
      <c r="H7" s="3007"/>
      <c r="I7" s="3008"/>
    </row>
    <row r="8" spans="1:9" ht="15.75">
      <c r="A8" s="3003" t="str">
        <f>结果表!A122</f>
        <v/>
      </c>
      <c r="B8" s="3003"/>
      <c r="C8" s="3003"/>
      <c r="D8" s="3003" t="str">
        <f>结果表!D122</f>
        <v>——</v>
      </c>
      <c r="E8" s="3003"/>
      <c r="F8" s="3003"/>
      <c r="G8" s="3003"/>
      <c r="H8" s="3003"/>
      <c r="I8" s="3003"/>
    </row>
    <row r="9" spans="1:9" ht="15">
      <c r="A9" s="3004" t="s">
        <v>1640</v>
      </c>
      <c r="B9" s="3004"/>
      <c r="C9" s="3004"/>
      <c r="D9" s="3005" t="e">
        <f>结果表!D123</f>
        <v>#VALUE!</v>
      </c>
      <c r="E9" s="3005"/>
      <c r="F9" s="3005"/>
      <c r="G9" s="3005"/>
      <c r="H9" s="3005"/>
      <c r="I9" s="3005"/>
    </row>
    <row r="10" spans="1:9" ht="15.75">
      <c r="A10" s="3003" t="str">
        <f>结果表!A124</f>
        <v>抵押担保权已注销时的房地产抵押价值</v>
      </c>
      <c r="B10" s="3003"/>
      <c r="C10" s="3003"/>
      <c r="D10" s="3003">
        <f ca="1">结果表!D124</f>
        <v>91004</v>
      </c>
      <c r="E10" s="3003"/>
      <c r="F10" s="3003"/>
      <c r="G10" s="3003"/>
      <c r="H10" s="3003"/>
      <c r="I10" s="3003"/>
    </row>
    <row r="11" spans="1:9" ht="15">
      <c r="A11" s="3004" t="s">
        <v>1640</v>
      </c>
      <c r="B11" s="3004"/>
      <c r="C11" s="3004"/>
      <c r="D11" s="3005" t="str">
        <f ca="1">结果表!D125</f>
        <v>玖亿壹仟零肆万元整</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1640</v>
      </c>
      <c r="B13" s="3000"/>
      <c r="C13" s="3000"/>
      <c r="D13" s="3001" t="e">
        <f>结果表!D127</f>
        <v>#VALUE!</v>
      </c>
      <c r="E13" s="3001"/>
      <c r="F13" s="3001"/>
      <c r="G13" s="3001"/>
      <c r="H13" s="3001"/>
      <c r="I13" s="3001"/>
    </row>
    <row r="14" spans="1:9" ht="15" thickTop="1">
      <c r="A14" s="3002" t="s">
        <v>1645</v>
      </c>
      <c r="B14" s="3002"/>
      <c r="C14" s="3002"/>
      <c r="D14" s="3002"/>
      <c r="E14" s="3002"/>
      <c r="F14" s="3002"/>
      <c r="G14" s="3002"/>
      <c r="H14" s="3002"/>
      <c r="I14" s="3002"/>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125" style="294" customWidth="1"/>
    <col min="3" max="3" width="12.125" style="294" customWidth="1"/>
    <col min="4" max="5" width="1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29820</v>
      </c>
      <c r="C2" s="2" t="s">
        <v>133</v>
      </c>
      <c r="D2" s="242"/>
      <c r="E2" s="242"/>
      <c r="F2" s="242"/>
      <c r="G2" s="242"/>
    </row>
    <row r="3" spans="1:7" s="243" customFormat="1" ht="18" customHeight="1" thickBot="1">
      <c r="A3" s="246" t="s">
        <v>85</v>
      </c>
      <c r="B3" s="247">
        <f ca="1">ROUND(B2*10000/'数据-汇总表'!E3,0)</f>
        <v>2194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1982</v>
      </c>
      <c r="D9" s="1030">
        <f>'数据-汇总表'!E5</f>
        <v>90096.790000000008</v>
      </c>
      <c r="E9" s="268">
        <f>'数据-取费表'!B27</f>
        <v>220</v>
      </c>
      <c r="F9" s="264"/>
      <c r="G9" s="269"/>
    </row>
    <row r="10" spans="1:7" s="257" customFormat="1" ht="13.5" customHeight="1">
      <c r="A10" s="948" t="s">
        <v>801</v>
      </c>
      <c r="B10" s="267" t="s">
        <v>94</v>
      </c>
      <c r="C10" s="268">
        <f>ROUND(D10*E10/10000,0)</f>
        <v>1008</v>
      </c>
      <c r="D10" s="1030">
        <f>'数据-汇总表'!E6</f>
        <v>45832.389999999985</v>
      </c>
      <c r="E10" s="268">
        <f>'数据-取费表'!B28</f>
        <v>220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2719</v>
      </c>
      <c r="D19" s="1034">
        <f>'数据-汇总表'!E3</f>
        <v>135929.18</v>
      </c>
      <c r="E19" s="254">
        <f>'数据-取费表'!B31</f>
        <v>200</v>
      </c>
      <c r="F19" s="274"/>
      <c r="G19" s="1" t="s">
        <v>1074</v>
      </c>
    </row>
    <row r="20" spans="1:7" s="257" customFormat="1" ht="13.5" customHeight="1">
      <c r="A20" s="946" t="s">
        <v>1057</v>
      </c>
      <c r="B20" s="253" t="s">
        <v>104</v>
      </c>
      <c r="C20" s="275">
        <f>ROUND((C5+C19)*F20,0)</f>
        <v>467</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892</v>
      </c>
      <c r="D22" s="278">
        <f ca="1">C26</f>
        <v>4.0000000000000002E-4</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780</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103</v>
      </c>
      <c r="D24" s="281"/>
      <c r="E24" s="281"/>
      <c r="F24" s="282"/>
      <c r="G24" s="283" t="s">
        <v>109</v>
      </c>
    </row>
    <row r="25" spans="1:7" s="257" customFormat="1" ht="24">
      <c r="A25" s="949" t="s">
        <v>793</v>
      </c>
      <c r="B25" s="258" t="s">
        <v>1058</v>
      </c>
      <c r="C25" s="1353">
        <f ca="1">ROUND(IF('数据-取费表'!B22&lt;=1,C20*F22*'数据-取费表'!B23/2,C20*(POWER((1+F22),'数据-取费表'!B23/2)-1)),0)</f>
        <v>9</v>
      </c>
      <c r="D25" s="281"/>
      <c r="E25" s="284"/>
      <c r="F25" s="282"/>
      <c r="G25" s="285" t="s">
        <v>110</v>
      </c>
    </row>
    <row r="26" spans="1:7" s="257" customFormat="1">
      <c r="A26" s="949" t="s">
        <v>795</v>
      </c>
      <c r="B26" s="258" t="s">
        <v>1060</v>
      </c>
      <c r="C26" s="281">
        <f ca="1">ROUND(IF('数据-取费表'!B22&lt;=1,F21*F22*'数据-取费表'!B23/2,F21*(POWER((1+F22),'数据-取费表'!B23/2)-1)),4)</f>
        <v>4.0000000000000002E-4</v>
      </c>
      <c r="D26" s="281"/>
      <c r="E26" s="284"/>
      <c r="F26" s="282"/>
      <c r="G26" s="286"/>
    </row>
    <row r="27" spans="1:7" s="257" customFormat="1" ht="24.75">
      <c r="A27" s="946" t="s">
        <v>787</v>
      </c>
      <c r="B27" s="287" t="s">
        <v>112</v>
      </c>
      <c r="C27" s="288">
        <f>C28</f>
        <v>990</v>
      </c>
      <c r="D27" s="278">
        <f>C29</f>
        <v>8.0000000000000004E-4</v>
      </c>
      <c r="E27" s="279" t="s">
        <v>126</v>
      </c>
      <c r="F27" s="289">
        <f>'数据-取费表'!Q16</f>
        <v>0.13</v>
      </c>
      <c r="G27" s="290" t="s">
        <v>1069</v>
      </c>
    </row>
    <row r="28" spans="1:7" s="257" customFormat="1" ht="13.5" customHeight="1">
      <c r="A28" s="949" t="s">
        <v>794</v>
      </c>
      <c r="B28" s="291" t="s">
        <v>1062</v>
      </c>
      <c r="C28" s="292">
        <f>ROUND((C5+C19+C20)*F27*'数据-取费表'!B21/'数据-取费表'!B20,0)</f>
        <v>990</v>
      </c>
      <c r="D28" s="278"/>
      <c r="E28" s="279"/>
      <c r="F28" s="289"/>
      <c r="G28" s="290"/>
    </row>
    <row r="29" spans="1:7" s="257" customFormat="1" ht="13.5" customHeight="1">
      <c r="A29" s="949" t="s">
        <v>792</v>
      </c>
      <c r="B29" s="291" t="s">
        <v>1063</v>
      </c>
      <c r="C29" s="281">
        <f>ROUND(C21*F27*'数据-取费表'!B21/'数据-取费表'!B20,4)</f>
        <v>8.0000000000000004E-4</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27746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1634</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1429</v>
      </c>
      <c r="D34" s="260"/>
      <c r="E34" s="263"/>
      <c r="F34" s="300">
        <f>IF('数据-取费表'!B24=0,1,'数据-取费表'!N16)</f>
        <v>3.9E-2</v>
      </c>
      <c r="G34" s="262" t="s">
        <v>116</v>
      </c>
    </row>
    <row r="35" spans="1:7" ht="13.5" customHeight="1">
      <c r="A35" s="949" t="s">
        <v>796</v>
      </c>
      <c r="B35" s="258" t="s">
        <v>60</v>
      </c>
      <c r="C35" s="263">
        <f>ROUND(C34*F35,0)</f>
        <v>43</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35</v>
      </c>
      <c r="D36" s="263"/>
      <c r="E36" s="263"/>
      <c r="F36" s="302">
        <f>'数据-取费表'!B34</f>
        <v>0.03</v>
      </c>
      <c r="G36" s="303" t="s">
        <v>62</v>
      </c>
    </row>
    <row r="37" spans="1:7" s="301" customFormat="1" ht="13.5" customHeight="1">
      <c r="A37" s="949" t="s">
        <v>798</v>
      </c>
      <c r="B37" s="258" t="s">
        <v>118</v>
      </c>
      <c r="C37" s="292">
        <f>ROUND(E37*D37*F34/10000,0)</f>
        <v>106</v>
      </c>
      <c r="D37" s="260">
        <f>'数据-汇总表'!E3</f>
        <v>135929.18</v>
      </c>
      <c r="E37" s="292">
        <f>'数据-取费表'!B35</f>
        <v>200</v>
      </c>
      <c r="F37" s="302"/>
      <c r="G37" s="304" t="s">
        <v>119</v>
      </c>
    </row>
    <row r="38" spans="1:7" ht="13.5" customHeight="1">
      <c r="A38" s="949" t="s">
        <v>799</v>
      </c>
      <c r="B38" s="258" t="s">
        <v>63</v>
      </c>
      <c r="C38" s="263">
        <f>ROUND(C34*F38,0)</f>
        <v>21</v>
      </c>
      <c r="D38" s="263"/>
      <c r="E38" s="263"/>
      <c r="F38" s="302">
        <f>'数据-取费表'!B36</f>
        <v>1.4999999999999999E-2</v>
      </c>
      <c r="G38" s="262" t="s">
        <v>117</v>
      </c>
    </row>
    <row r="39" spans="1:7" s="257" customFormat="1" ht="13.5" customHeight="1">
      <c r="A39" s="946" t="s">
        <v>783</v>
      </c>
      <c r="B39" s="253" t="s">
        <v>104</v>
      </c>
      <c r="C39" s="275">
        <f>ROUND(C33*F20,0)</f>
        <v>33</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32</v>
      </c>
      <c r="D41" s="278">
        <f ca="1">C44</f>
        <v>4.0000000000000002E-4</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31</v>
      </c>
      <c r="D42" s="281"/>
      <c r="E42" s="281"/>
      <c r="F42" s="282"/>
      <c r="G42" s="3180" t="s">
        <v>121</v>
      </c>
    </row>
    <row r="43" spans="1:7" ht="13.5" customHeight="1">
      <c r="A43" s="949" t="s">
        <v>792</v>
      </c>
      <c r="B43" s="258" t="s">
        <v>1064</v>
      </c>
      <c r="C43" s="281">
        <f ca="1">ROUND(IF('数据-取费表'!B22&lt;=1,C39*F22*'数据-取费表'!B21/2,C39*(POWER((1+F22),'数据-取费表'!B21/2)-1)),0)</f>
        <v>1</v>
      </c>
      <c r="D43" s="281"/>
      <c r="E43" s="281"/>
      <c r="F43" s="282"/>
      <c r="G43" s="3181"/>
    </row>
    <row r="44" spans="1:7" ht="13.5" customHeight="1">
      <c r="A44" s="949" t="s">
        <v>793</v>
      </c>
      <c r="B44" s="258" t="s">
        <v>1066</v>
      </c>
      <c r="C44" s="281">
        <f ca="1">ROUND(IF('数据-取费表'!B22&lt;=1,C40*F22*'数据-取费表'!B21/2,C40*(POWER((1+F22),'数据-取费表'!B21/2)-1)),4)</f>
        <v>4.0000000000000002E-4</v>
      </c>
      <c r="D44" s="281"/>
      <c r="E44" s="281"/>
      <c r="F44" s="282"/>
      <c r="G44" s="3182"/>
    </row>
    <row r="45" spans="1:7" s="257" customFormat="1" ht="13.5" customHeight="1">
      <c r="A45" s="946" t="s">
        <v>786</v>
      </c>
      <c r="B45" s="287" t="s">
        <v>112</v>
      </c>
      <c r="C45" s="288">
        <f>C46</f>
        <v>217</v>
      </c>
      <c r="D45" s="278">
        <f>C47</f>
        <v>2.5999999999999999E-3</v>
      </c>
      <c r="E45" s="279" t="s">
        <v>129</v>
      </c>
      <c r="F45" s="289"/>
      <c r="G45" s="290" t="s">
        <v>1072</v>
      </c>
    </row>
    <row r="46" spans="1:7" s="257" customFormat="1" ht="13.5" customHeight="1">
      <c r="A46" s="949" t="s">
        <v>794</v>
      </c>
      <c r="B46" s="291" t="s">
        <v>1065</v>
      </c>
      <c r="C46" s="292">
        <f>ROUND((C33+C39)*F27,0)</f>
        <v>217</v>
      </c>
      <c r="D46" s="306"/>
      <c r="E46" s="279"/>
      <c r="F46" s="289"/>
      <c r="G46" s="290"/>
    </row>
    <row r="47" spans="1:7" s="257" customFormat="1" ht="13.5" customHeight="1">
      <c r="A47" s="949" t="s">
        <v>792</v>
      </c>
      <c r="B47" s="291" t="s">
        <v>1067</v>
      </c>
      <c r="C47" s="281">
        <f>ROUND(C40*F27,4)</f>
        <v>2.5999999999999999E-3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2074</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2074</v>
      </c>
      <c r="D51" s="275"/>
      <c r="E51" s="275"/>
      <c r="F51" s="307"/>
      <c r="G51" s="277" t="s">
        <v>64</v>
      </c>
    </row>
    <row r="52" spans="1:7" s="251" customFormat="1" ht="16.5" thickBot="1">
      <c r="A52" s="308" t="s">
        <v>65</v>
      </c>
      <c r="B52" s="309"/>
      <c r="C52" s="310">
        <f ca="1">C31+C51</f>
        <v>29820</v>
      </c>
      <c r="D52" s="309"/>
      <c r="E52" s="309"/>
      <c r="F52" s="309"/>
      <c r="G52" s="311"/>
    </row>
    <row r="55" spans="1:7" ht="15">
      <c r="B55" s="313" t="s">
        <v>66</v>
      </c>
      <c r="C55" s="314"/>
    </row>
    <row r="56" spans="1:7">
      <c r="B56" s="316" t="s">
        <v>67</v>
      </c>
      <c r="C56" s="317">
        <f ca="1">ROUND(C51/C52,3)</f>
        <v>7.0000000000000007E-2</v>
      </c>
    </row>
    <row r="57" spans="1:7">
      <c r="B57" s="316" t="s">
        <v>68</v>
      </c>
      <c r="C57" s="318">
        <f ca="1">1-C56</f>
        <v>0.92999999999999994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0" customWidth="1"/>
    <col min="2" max="5" width="10.125" style="808" customWidth="1"/>
    <col min="6" max="6" width="8.875" style="808"/>
    <col min="7" max="8" width="8.875" style="823"/>
    <col min="9" max="16384" width="8.875" style="808"/>
  </cols>
  <sheetData>
    <row r="1" spans="1:19">
      <c r="A1" s="3318" t="s">
        <v>156</v>
      </c>
      <c r="B1" s="3318"/>
      <c r="C1" s="3318"/>
      <c r="D1" s="3318"/>
      <c r="E1" s="3318"/>
      <c r="F1" s="3318"/>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19" t="s">
        <v>169</v>
      </c>
      <c r="B2" s="3319"/>
      <c r="C2" s="3319"/>
      <c r="D2" s="3319"/>
      <c r="E2" s="3319"/>
      <c r="F2" s="3319"/>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0"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1"/>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318" t="s">
        <v>871</v>
      </c>
      <c r="B1" s="3318"/>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24.75" thickBot="1">
      <c r="A72" s="835" t="s">
        <v>137</v>
      </c>
      <c r="B72" s="829" t="s">
        <v>885</v>
      </c>
      <c r="C72" s="1075"/>
      <c r="D72" s="1075"/>
      <c r="E72" s="1075"/>
      <c r="F72" s="1063">
        <v>0.05</v>
      </c>
    </row>
    <row r="73" spans="1:6" ht="24.75" thickBot="1">
      <c r="A73" s="835" t="s">
        <v>137</v>
      </c>
      <c r="B73" s="829" t="s">
        <v>886</v>
      </c>
      <c r="C73" s="1075"/>
      <c r="D73" s="1075"/>
      <c r="E73" s="1075"/>
      <c r="F73" s="1063">
        <v>0.05</v>
      </c>
    </row>
    <row r="74" spans="1:6" ht="24.75" thickBot="1">
      <c r="A74" s="835" t="s">
        <v>137</v>
      </c>
      <c r="B74" s="829" t="s">
        <v>887</v>
      </c>
      <c r="C74" s="1075"/>
      <c r="D74" s="1075"/>
      <c r="E74" s="1075"/>
      <c r="F74" s="1063">
        <v>0.05</v>
      </c>
    </row>
    <row r="75" spans="1:6" ht="24.7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24.7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24.7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43424</v>
      </c>
      <c r="D1" s="1696" t="s">
        <v>1301</v>
      </c>
      <c r="E1" s="1691">
        <f>'数据-取费表'!B22</f>
        <v>2.5</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16" sqref="L16"/>
    </sheetView>
  </sheetViews>
  <sheetFormatPr defaultColWidth="11" defaultRowHeight="13.5"/>
  <sheetData/>
  <phoneticPr fontId="143" type="noConversion"/>
  <pageMargins left="0.75" right="0.75" top="1" bottom="1" header="0.5" footer="0.5"/>
  <pageSetup paperSize="0" orientation="portrait" horizontalDpi="0" verticalDpi="0" copies="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17" t="s">
        <v>1662</v>
      </c>
      <c r="B1" s="3017"/>
      <c r="C1" s="3017"/>
      <c r="D1" s="3017"/>
    </row>
    <row r="2" spans="1:4" ht="18">
      <c r="A2" s="3018" t="s">
        <v>1646</v>
      </c>
      <c r="B2" s="3018"/>
      <c r="C2" s="3018"/>
      <c r="D2" s="3018"/>
    </row>
    <row r="3" spans="1:4" ht="18.75">
      <c r="A3" s="1973" t="s">
        <v>1647</v>
      </c>
      <c r="B3" s="1973" t="s">
        <v>1648</v>
      </c>
      <c r="C3" s="1973" t="s">
        <v>1649</v>
      </c>
      <c r="D3" s="1973" t="s">
        <v>1650</v>
      </c>
    </row>
    <row r="4" spans="1:4" ht="56.25" customHeight="1">
      <c r="A4" s="1974" t="str">
        <f>项目基本情况!B4</f>
        <v>王鹏</v>
      </c>
      <c r="B4" s="1975">
        <f ca="1">项目基本情况!C4</f>
        <v>1120050019</v>
      </c>
      <c r="C4" s="1976"/>
      <c r="D4" s="1977" t="s">
        <v>1651</v>
      </c>
    </row>
    <row r="5" spans="1:4" ht="56.25" customHeight="1">
      <c r="A5" s="1974" t="str">
        <f>项目基本情况!D4</f>
        <v>郑燚</v>
      </c>
      <c r="B5" s="1975">
        <f ca="1">项目基本情况!E4</f>
        <v>1120070131</v>
      </c>
      <c r="C5" s="1978"/>
      <c r="D5" s="1977" t="s">
        <v>1651</v>
      </c>
    </row>
    <row r="6" spans="1:4" ht="18">
      <c r="A6" s="3018" t="s">
        <v>1652</v>
      </c>
      <c r="B6" s="3018"/>
      <c r="C6" s="3018"/>
      <c r="D6" s="3018"/>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19" t="s">
        <v>1655</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不动产权证书》原件、，截至价值时点，估价对象已设定抵押。上述抵押权设定日期为2018年5月11日，权利人为山东省国际信托股份有限公司，权利范围为土地面积为30136.12平方米的土地使用权，权利价值为8亿元。</v>
      </c>
      <c r="B15" s="3011"/>
      <c r="C15" s="3011"/>
      <c r="D15" s="3011"/>
    </row>
    <row r="16" spans="1:4" ht="30" customHeight="1">
      <c r="A16" s="3013" t="s">
        <v>1656</v>
      </c>
      <c r="B16" s="3013"/>
      <c r="C16" s="3013"/>
      <c r="D16" s="3013"/>
    </row>
    <row r="17" spans="1:4" ht="144" customHeight="1">
      <c r="A17" s="3013" t="s">
        <v>1657</v>
      </c>
      <c r="B17" s="3013"/>
      <c r="C17" s="3013"/>
      <c r="D17" s="3013"/>
    </row>
    <row r="18" spans="1:4" ht="15.75" customHeight="1">
      <c r="A18" s="3011" t="str">
        <f>IF(项目基本情况!B8="抵押",结果表!K120,"——")</f>
        <v>故，本次评估估价师知悉的法定优先受偿款为人民币413万元整。</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1658</v>
      </c>
      <c r="B22" s="3015"/>
      <c r="C22" s="3015"/>
      <c r="D22" s="3015"/>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25" t="s">
        <v>1669</v>
      </c>
      <c r="B15" s="3020" t="s">
        <v>136</v>
      </c>
      <c r="C15" s="3021"/>
    </row>
    <row r="16" spans="1:7" ht="13.5">
      <c r="A16" s="3026"/>
      <c r="B16" s="3020" t="s">
        <v>69</v>
      </c>
      <c r="C16" s="3021"/>
    </row>
    <row r="17" spans="1:3" ht="13.5">
      <c r="A17" s="3026"/>
      <c r="B17" s="3023" t="s">
        <v>1670</v>
      </c>
      <c r="C17" s="1996" t="s">
        <v>1669</v>
      </c>
    </row>
    <row r="18" spans="1:3" ht="13.5">
      <c r="A18" s="3026"/>
      <c r="B18" s="3023"/>
      <c r="C18" s="1996" t="s">
        <v>1671</v>
      </c>
    </row>
    <row r="19" spans="1:3" ht="13.5">
      <c r="A19" s="3026"/>
      <c r="B19" s="3023"/>
      <c r="C19" s="1996" t="s">
        <v>1672</v>
      </c>
    </row>
    <row r="20" spans="1:3" ht="13.5">
      <c r="A20" s="3027"/>
      <c r="B20" s="3022" t="s">
        <v>1673</v>
      </c>
      <c r="C20" s="3021"/>
    </row>
    <row r="21" spans="1:3" ht="13.5">
      <c r="A21" s="1997" t="s">
        <v>1674</v>
      </c>
      <c r="B21" s="1998"/>
      <c r="C21" s="1999"/>
    </row>
    <row r="22" spans="1:3" ht="13.5">
      <c r="A22" s="3024" t="s">
        <v>1675</v>
      </c>
      <c r="B22" s="3022" t="s">
        <v>1676</v>
      </c>
      <c r="C22" s="3021"/>
    </row>
    <row r="23" spans="1:3" ht="13.5">
      <c r="A23" s="3024"/>
      <c r="B23" s="3022" t="s">
        <v>1677</v>
      </c>
      <c r="C23" s="3021"/>
    </row>
    <row r="24" spans="1:3" ht="13.5">
      <c r="A24" s="3024"/>
      <c r="B24" s="3022" t="s">
        <v>1678</v>
      </c>
      <c r="C24" s="3021"/>
    </row>
    <row r="25" spans="1:3" ht="13.5">
      <c r="A25" s="3024"/>
      <c r="B25" s="3023" t="s">
        <v>1679</v>
      </c>
      <c r="C25" s="1996" t="s">
        <v>1680</v>
      </c>
    </row>
    <row r="26" spans="1:3" ht="13.5">
      <c r="A26" s="3024"/>
      <c r="B26" s="3023"/>
      <c r="C26" s="1996" t="s">
        <v>1681</v>
      </c>
    </row>
    <row r="27" spans="1:3" ht="13.5">
      <c r="A27" s="3024"/>
      <c r="B27" s="3023"/>
      <c r="C27" s="1996" t="s">
        <v>1682</v>
      </c>
    </row>
    <row r="28" spans="1:3" ht="13.5">
      <c r="A28" s="3024"/>
      <c r="B28" s="3023"/>
      <c r="C28" s="1996" t="s">
        <v>1683</v>
      </c>
    </row>
    <row r="29" spans="1:3" ht="13.5">
      <c r="A29" s="3024"/>
      <c r="B29" s="3023"/>
      <c r="C29" s="1996" t="s">
        <v>1684</v>
      </c>
    </row>
    <row r="30" spans="1:3" ht="13.5">
      <c r="A30" s="3024"/>
      <c r="B30" s="3023"/>
      <c r="C30" s="1996" t="s">
        <v>1685</v>
      </c>
    </row>
    <row r="31" spans="1:3" ht="13.5">
      <c r="A31" s="3024"/>
      <c r="B31" s="3023"/>
      <c r="C31" s="1996" t="s">
        <v>1686</v>
      </c>
    </row>
    <row r="32" spans="1:3" ht="13.5">
      <c r="A32" s="3024"/>
      <c r="B32" s="3023"/>
      <c r="C32" s="1996" t="s">
        <v>1687</v>
      </c>
    </row>
    <row r="33" spans="1:3" ht="13.5">
      <c r="A33" s="3024"/>
      <c r="B33" s="3023"/>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43430</v>
      </c>
      <c r="C2" s="1017" t="s">
        <v>826</v>
      </c>
      <c r="D2" s="1017"/>
    </row>
    <row r="3" spans="1:6" ht="24" customHeight="1">
      <c r="A3" s="1018" t="s">
        <v>827</v>
      </c>
      <c r="B3" s="1019" t="s">
        <v>828</v>
      </c>
      <c r="C3" s="2336" t="s">
        <v>829</v>
      </c>
      <c r="D3" s="2339" t="s">
        <v>830</v>
      </c>
      <c r="E3" s="1020" t="s">
        <v>831</v>
      </c>
      <c r="F3" s="1019" t="s">
        <v>829</v>
      </c>
    </row>
    <row r="4" spans="1:6" ht="24" customHeight="1">
      <c r="A4" s="1698" t="s">
        <v>832</v>
      </c>
      <c r="B4" s="1020">
        <f ca="1">IF(C4&lt;B2,"已过期",1119970066)</f>
        <v>1119970066</v>
      </c>
      <c r="C4" s="2337">
        <v>43849</v>
      </c>
      <c r="D4" s="2340" t="s">
        <v>832</v>
      </c>
      <c r="E4" s="1020">
        <f ca="1">IF(F4&lt;B2,"已过期",96010014)</f>
        <v>96010014</v>
      </c>
      <c r="F4" s="1028">
        <v>47118</v>
      </c>
    </row>
    <row r="5" spans="1:6" ht="24" customHeight="1">
      <c r="A5" s="1698" t="s">
        <v>833</v>
      </c>
      <c r="B5" s="1020">
        <f ca="1">IF(C5&lt;B2,"已过期",1119970074)</f>
        <v>1119970074</v>
      </c>
      <c r="C5" s="2337">
        <v>43849</v>
      </c>
      <c r="D5" s="2340" t="s">
        <v>833</v>
      </c>
      <c r="E5" s="1020">
        <f ca="1">IF(F5&lt;B2,"已过期",2002110027)</f>
        <v>2002110027</v>
      </c>
      <c r="F5" s="1028">
        <v>46752</v>
      </c>
    </row>
    <row r="6" spans="1:6" ht="24" customHeight="1">
      <c r="A6" s="1698" t="s">
        <v>834</v>
      </c>
      <c r="B6" s="1020">
        <f ca="1">IF(C6&lt;B2,"已过期",1119970111)</f>
        <v>1119970111</v>
      </c>
      <c r="C6" s="2337">
        <v>43849</v>
      </c>
      <c r="D6" s="2340" t="s">
        <v>834</v>
      </c>
      <c r="E6" s="1020">
        <f ca="1">IF(F6&lt;B2,"已过期",94010078)</f>
        <v>94010078</v>
      </c>
      <c r="F6" s="1028">
        <v>46387</v>
      </c>
    </row>
    <row r="7" spans="1:6" ht="24" customHeight="1">
      <c r="A7" s="1698" t="s">
        <v>835</v>
      </c>
      <c r="B7" s="1020">
        <f ca="1">IF(C7&lt;B2,"已过期",1120050019)</f>
        <v>1120050019</v>
      </c>
      <c r="C7" s="2337">
        <v>44395</v>
      </c>
      <c r="D7" s="2340" t="s">
        <v>835</v>
      </c>
      <c r="E7" s="1020">
        <f ca="1">IF(F7&lt;B2,"已过期",2002110030)</f>
        <v>2002110030</v>
      </c>
      <c r="F7" s="1028">
        <v>46387</v>
      </c>
    </row>
    <row r="8" spans="1:6" ht="24" customHeight="1">
      <c r="A8" s="1698" t="s">
        <v>836</v>
      </c>
      <c r="B8" s="1020">
        <f ca="1">IF(C8&lt;B2,"已过期",1120000080)</f>
        <v>1120000080</v>
      </c>
      <c r="C8" s="2337">
        <v>43849</v>
      </c>
      <c r="D8" s="2340" t="s">
        <v>836</v>
      </c>
      <c r="E8" s="1020">
        <f ca="1">IF(F8&lt;B2,"已过期",2000110082)</f>
        <v>2000110082</v>
      </c>
      <c r="F8" s="1028">
        <v>46387</v>
      </c>
    </row>
    <row r="9" spans="1:6" ht="24" customHeight="1">
      <c r="A9" s="1698" t="s">
        <v>837</v>
      </c>
      <c r="B9" s="1020">
        <f ca="1">IF(C9&lt;B2,"已过期",1419970001)</f>
        <v>1419970001</v>
      </c>
      <c r="C9" s="2337">
        <v>43867</v>
      </c>
      <c r="D9" s="2340" t="s">
        <v>837</v>
      </c>
      <c r="E9" s="1020">
        <f ca="1">IF(F9&lt;B2,"已过期",2002110125)</f>
        <v>2002110125</v>
      </c>
      <c r="F9" s="1028">
        <v>47118</v>
      </c>
    </row>
    <row r="10" spans="1:6" ht="24" customHeight="1">
      <c r="A10" s="1698" t="s">
        <v>838</v>
      </c>
      <c r="B10" s="1020">
        <f ca="1">IF(C10&lt;B2,"已过期",1120060040)</f>
        <v>1120060040</v>
      </c>
      <c r="C10" s="2337">
        <v>43483</v>
      </c>
      <c r="D10" s="2340" t="s">
        <v>838</v>
      </c>
      <c r="E10" s="1020">
        <f ca="1">IF(F10&lt;B2,"已过期",2004110096)</f>
        <v>2004110096</v>
      </c>
      <c r="F10" s="1028">
        <v>47118</v>
      </c>
    </row>
    <row r="11" spans="1:6" ht="24" customHeight="1">
      <c r="A11" s="1698" t="s">
        <v>839</v>
      </c>
      <c r="B11" s="1020">
        <f ca="1">IF(C11&lt;B2,"已过期",1120100036)</f>
        <v>1120100036</v>
      </c>
      <c r="C11" s="2337">
        <v>43622</v>
      </c>
      <c r="D11" s="2340" t="s">
        <v>839</v>
      </c>
      <c r="E11" s="1020">
        <f ca="1">IF(F11&lt;B2,"已过期",2010110070)</f>
        <v>2010110070</v>
      </c>
      <c r="F11" s="1028">
        <v>47907</v>
      </c>
    </row>
    <row r="12" spans="1:6" ht="24" customHeight="1">
      <c r="A12" s="1698" t="s">
        <v>3036</v>
      </c>
      <c r="B12" s="1020">
        <v>1120110054</v>
      </c>
      <c r="C12" s="2930">
        <v>43937</v>
      </c>
      <c r="D12" s="1698" t="s">
        <v>3036</v>
      </c>
      <c r="E12" s="1020">
        <v>2008110060</v>
      </c>
      <c r="F12" s="1028">
        <v>47177</v>
      </c>
    </row>
    <row r="13" spans="1:6" ht="24" customHeight="1">
      <c r="A13" s="1698" t="s">
        <v>840</v>
      </c>
      <c r="B13" s="1020">
        <f ca="1">IF(C13&lt;B2,"已过期",1120070131)</f>
        <v>1120070131</v>
      </c>
      <c r="C13" s="2337">
        <v>43814</v>
      </c>
      <c r="D13" s="2340" t="s">
        <v>840</v>
      </c>
      <c r="E13" s="1020">
        <v>2014110011</v>
      </c>
      <c r="F13" s="1028">
        <v>49302</v>
      </c>
    </row>
    <row r="14" spans="1:6" ht="24" customHeight="1">
      <c r="A14" s="1698" t="s">
        <v>841</v>
      </c>
      <c r="B14" s="1020">
        <f ca="1">IF(C14&lt;B2,"已过期",1120130020)</f>
        <v>1120130020</v>
      </c>
      <c r="C14" s="2337">
        <v>43622</v>
      </c>
      <c r="D14" s="2340"/>
      <c r="E14" s="1020"/>
      <c r="F14" s="1020"/>
    </row>
    <row r="15" spans="1:6" ht="24" customHeight="1">
      <c r="A15" s="1699" t="s">
        <v>1149</v>
      </c>
      <c r="B15" s="1020">
        <v>1120070085</v>
      </c>
      <c r="C15" s="2337">
        <v>43814</v>
      </c>
      <c r="D15" s="2341" t="s">
        <v>1149</v>
      </c>
      <c r="E15" s="1020">
        <v>2004110128</v>
      </c>
      <c r="F15" s="1021">
        <v>47118</v>
      </c>
    </row>
    <row r="16" spans="1:6" ht="24" customHeight="1">
      <c r="A16" s="1698" t="s">
        <v>842</v>
      </c>
      <c r="B16" s="1020">
        <f ca="1">IF(C16&lt;B2,"已过期",1120140022)</f>
        <v>1120140022</v>
      </c>
      <c r="C16" s="2337">
        <v>44029</v>
      </c>
      <c r="D16" s="2340" t="s">
        <v>842</v>
      </c>
      <c r="E16" s="1020">
        <f ca="1">IF(F16&lt;B2,"已过期",2008110059)</f>
        <v>2008110059</v>
      </c>
      <c r="F16" s="1028">
        <v>47177</v>
      </c>
    </row>
    <row r="17" spans="1:7" ht="24" customHeight="1">
      <c r="A17" s="1698"/>
      <c r="B17" s="1020"/>
      <c r="C17" s="2337"/>
      <c r="D17" s="2340"/>
      <c r="E17" s="1020"/>
      <c r="F17" s="1028"/>
    </row>
    <row r="18" spans="1:7" ht="24" customHeight="1">
      <c r="A18" s="1698"/>
      <c r="B18" s="1020"/>
      <c r="C18" s="2337"/>
      <c r="D18" s="2340"/>
      <c r="E18" s="1020"/>
      <c r="F18" s="1028"/>
    </row>
    <row r="19" spans="1:7" ht="24" customHeight="1">
      <c r="A19" s="1698"/>
      <c r="B19" s="1020"/>
      <c r="C19" s="2337"/>
      <c r="D19" s="2340"/>
      <c r="E19" s="1020"/>
      <c r="F19" s="1020"/>
    </row>
    <row r="20" spans="1:7" ht="24" customHeight="1">
      <c r="A20" s="1698"/>
      <c r="B20" s="1020"/>
      <c r="C20" s="2337"/>
      <c r="D20" s="2340"/>
      <c r="E20" s="1020"/>
      <c r="F20" s="1020"/>
    </row>
    <row r="21" spans="1:7" ht="24" customHeight="1">
      <c r="A21" s="1698"/>
      <c r="B21" s="1020"/>
      <c r="C21" s="2337"/>
      <c r="D21" s="2340" t="s">
        <v>843</v>
      </c>
      <c r="E21" s="1020">
        <f ca="1">IF(F21&lt;B2,"已过期",2011110090)</f>
        <v>2011110090</v>
      </c>
      <c r="F21" s="1028">
        <v>48302</v>
      </c>
    </row>
    <row r="22" spans="1:7" ht="24" customHeight="1">
      <c r="A22" s="1698" t="s">
        <v>844</v>
      </c>
      <c r="B22" s="1020">
        <f ca="1">IF(C22&lt;B2,"已过期",1120020033)</f>
        <v>1120020033</v>
      </c>
      <c r="C22" s="2930">
        <v>44339</v>
      </c>
      <c r="D22" s="2340" t="s">
        <v>844</v>
      </c>
      <c r="E22" s="1020">
        <f ca="1">IF(F22&lt;B2,"已过期",2000110137)</f>
        <v>2000110137</v>
      </c>
      <c r="F22" s="1028">
        <v>46387</v>
      </c>
    </row>
    <row r="23" spans="1:7" ht="24" customHeight="1">
      <c r="A23" s="1698" t="s">
        <v>845</v>
      </c>
      <c r="B23" s="1020">
        <f ca="1">IF(C23&lt;B2,"已过期",1120130048)</f>
        <v>1120130048</v>
      </c>
      <c r="C23" s="2337">
        <v>43686</v>
      </c>
      <c r="D23" s="2340"/>
      <c r="E23" s="1020"/>
      <c r="F23" s="1020"/>
    </row>
    <row r="24" spans="1:7" s="1022" customFormat="1" ht="24" customHeight="1">
      <c r="A24" s="1699" t="s">
        <v>1333</v>
      </c>
      <c r="B24" s="1699" t="s">
        <v>1333</v>
      </c>
      <c r="C24" s="2338" t="s">
        <v>1333</v>
      </c>
      <c r="D24" s="2341" t="s">
        <v>1333</v>
      </c>
      <c r="E24" s="1699" t="s">
        <v>1333</v>
      </c>
      <c r="F24" s="1699" t="s">
        <v>1333</v>
      </c>
    </row>
    <row r="25" spans="1:7" ht="24" customHeight="1">
      <c r="A25" s="3028" t="s">
        <v>846</v>
      </c>
      <c r="B25" s="3028"/>
      <c r="C25" s="3028"/>
      <c r="D25" s="3028"/>
      <c r="E25" s="3028"/>
      <c r="F25" s="3028"/>
      <c r="G25" s="3028"/>
    </row>
    <row r="26" spans="1:7" s="1023" customFormat="1" ht="24" customHeight="1">
      <c r="A26" s="3029" t="s">
        <v>847</v>
      </c>
      <c r="B26" s="3029"/>
      <c r="C26" s="3030"/>
      <c r="D26" s="3031" t="s">
        <v>848</v>
      </c>
      <c r="E26" s="3029"/>
      <c r="F26" s="3029"/>
    </row>
    <row r="27" spans="1:7" s="1025" customFormat="1" ht="24" customHeight="1">
      <c r="A27" s="1024" t="s">
        <v>849</v>
      </c>
      <c r="B27" s="1019" t="s">
        <v>850</v>
      </c>
      <c r="C27" s="2336" t="s">
        <v>851</v>
      </c>
      <c r="D27" s="2344" t="s">
        <v>849</v>
      </c>
      <c r="E27" s="1019" t="s">
        <v>850</v>
      </c>
      <c r="F27" s="1019" t="s">
        <v>851</v>
      </c>
    </row>
    <row r="28" spans="1:7" s="1025" customFormat="1" ht="24" customHeight="1">
      <c r="A28" s="1026" t="s">
        <v>852</v>
      </c>
      <c r="B28" s="1027" t="s">
        <v>853</v>
      </c>
      <c r="C28" s="2342">
        <v>43725</v>
      </c>
      <c r="D28" s="2345" t="s">
        <v>854</v>
      </c>
      <c r="E28" s="1026" t="s">
        <v>855</v>
      </c>
      <c r="F28" s="1056">
        <v>44377</v>
      </c>
    </row>
    <row r="29" spans="1:7" s="1025" customFormat="1" ht="24" customHeight="1">
      <c r="A29" s="1026"/>
      <c r="B29" s="1026"/>
      <c r="C29" s="2343"/>
      <c r="D29" s="2345"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136</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测绘</vt:lpstr>
      <vt:lpstr>数据-汇总表</vt:lpstr>
      <vt:lpstr>数据-取费表</vt:lpstr>
      <vt:lpstr>估价对象房地状况</vt:lpstr>
      <vt:lpstr>系统读取表</vt:lpstr>
      <vt:lpstr>成本收益测算（旧）</vt:lpstr>
      <vt:lpstr>开发进度</vt:lpstr>
      <vt:lpstr>预期售价</vt:lpstr>
      <vt:lpstr>结果表</vt:lpstr>
      <vt:lpstr>出让价及转让价</vt:lpstr>
      <vt:lpstr>成本法</vt:lpstr>
      <vt:lpstr>成本法 (元)</vt:lpstr>
      <vt:lpstr>土地比较法-住宅、综合</vt:lpstr>
      <vt:lpstr>土地案例</vt:lpstr>
      <vt:lpstr>案例位置</vt:lpstr>
      <vt:lpstr>假设开发法</vt:lpstr>
      <vt:lpstr>比较法-住宅</vt:lpstr>
      <vt:lpstr>收益法（独立商业）</vt:lpstr>
      <vt:lpstr>收益法（底商）</vt:lpstr>
      <vt:lpstr>收益法（地下车库）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工作表3</vt:lpstr>
      <vt:lpstr>估价师及机构信息!Print_Area</vt:lpstr>
      <vt:lpstr>'收益法 (元)'!Print_Area</vt:lpstr>
      <vt:lpstr>'收益法（底商）'!Print_Area</vt:lpstr>
      <vt:lpstr>'收益法（地下车库）'!Print_Area</vt:lpstr>
      <vt:lpstr>'收益法（独立商业）'!Print_Area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2018-11-26T10:51:11Z</dcterms:modified>
</cp:coreProperties>
</file>