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2025-1-0432-P01密云阳光街783幢-陈宁-华夏\"/>
    </mc:Choice>
  </mc:AlternateContent>
  <xr:revisionPtr revIDLastSave="0" documentId="13_ncr:1_{7CEA0016-0A26-4DC8-B4A4-DC40C0AE68BE}" xr6:coauthVersionLast="47" xr6:coauthVersionMax="47" xr10:uidLastSave="{00000000-0000-0000-0000-000000000000}"/>
  <bookViews>
    <workbookView xWindow="-108" yWindow="-108" windowWidth="20376" windowHeight="12216" tabRatio="899" firstSheet="12"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收益法" sheetId="15" r:id="rId21"/>
    <sheet name="租赁合同" sheetId="80" r:id="rId22"/>
    <sheet name="信息" sheetId="81"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4" i="31"/>
  <c r="B26" i="31"/>
  <c r="B27" i="31"/>
  <c r="B28" i="31"/>
  <c r="B29" i="31"/>
  <c r="B30" i="31"/>
  <c r="B25" i="31"/>
  <c r="A30" i="31"/>
  <c r="A28" i="31"/>
  <c r="A29" i="31"/>
  <c r="A26" i="31"/>
  <c r="A27" i="31"/>
  <c r="A25" i="31"/>
  <c r="B24" i="31"/>
  <c r="U4" i="43"/>
  <c r="F19" i="6"/>
  <c r="C19" i="6"/>
  <c r="I7" i="4"/>
  <c r="D18" i="80"/>
  <c r="J7" i="80"/>
  <c r="L7" i="80" s="1"/>
  <c r="J6" i="80"/>
  <c r="L6" i="80" s="1"/>
  <c r="I4" i="80"/>
  <c r="I5" i="80"/>
  <c r="J5" i="80" s="1"/>
  <c r="L5" i="80" s="1"/>
  <c r="I6" i="80"/>
  <c r="I7" i="80"/>
  <c r="I8" i="80"/>
  <c r="J8" i="80" s="1"/>
  <c r="L8" i="80" s="1"/>
  <c r="I2" i="80"/>
  <c r="J2" i="80" s="1"/>
  <c r="L2" i="80" s="1"/>
  <c r="H3" i="80"/>
  <c r="H4" i="80"/>
  <c r="H5" i="80"/>
  <c r="H6" i="80"/>
  <c r="H7" i="80"/>
  <c r="H8" i="80"/>
  <c r="H2" i="80"/>
  <c r="N19" i="1"/>
  <c r="P18" i="1" l="1"/>
  <c r="N21" i="1"/>
  <c r="N6" i="1" s="1"/>
  <c r="Y6" i="1" s="1"/>
  <c r="J49" i="15"/>
  <c r="B59" i="1"/>
  <c r="B21" i="1"/>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5" i="79"/>
  <c r="AG35" i="79" s="1"/>
  <c r="S33" i="79"/>
  <c r="AG33"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3" i="79"/>
  <c r="T34" i="79"/>
  <c r="T35" i="79"/>
  <c r="AR40" i="79"/>
  <c r="AR41" i="79" s="1"/>
  <c r="AR42" i="79" s="1"/>
  <c r="AR43" i="79" s="1"/>
  <c r="AR44" i="79" s="1"/>
  <c r="AR45" i="79" s="1"/>
  <c r="AR46" i="79" s="1"/>
  <c r="AR47" i="79" s="1"/>
  <c r="AR48" i="79" s="1"/>
  <c r="AR49" i="79" s="1"/>
  <c r="AR50" i="79" s="1"/>
  <c r="AR51" i="79" s="1"/>
  <c r="AR52" i="79" s="1"/>
  <c r="AD37" i="79"/>
  <c r="AD36" i="79"/>
  <c r="AD38"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50" i="79"/>
  <c r="AK50" i="79" s="1"/>
  <c r="AH50" i="79"/>
  <c r="W41" i="79"/>
  <c r="AK41" i="79" s="1"/>
  <c r="AH41" i="79"/>
  <c r="W44" i="79"/>
  <c r="AK44" i="79" s="1"/>
  <c r="AH44"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W29" i="39"/>
  <c r="W18" i="36"/>
  <c r="S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B12" i="1" s="1"/>
  <c r="E12" i="1" s="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R32" i="31"/>
  <c r="S32" i="31" s="1"/>
  <c r="R33" i="31"/>
  <c r="R34" i="31"/>
  <c r="S34" i="31" s="1"/>
  <c r="R35" i="31"/>
  <c r="R36" i="31"/>
  <c r="S36" i="31" s="1"/>
  <c r="R37" i="31"/>
  <c r="R38" i="31"/>
  <c r="S38" i="31" s="1"/>
  <c r="R39" i="31"/>
  <c r="S39" i="31" s="1"/>
  <c r="R40" i="31"/>
  <c r="S40" i="31" s="1"/>
  <c r="R41" i="31"/>
  <c r="R42" i="31"/>
  <c r="S42" i="31" s="1"/>
  <c r="R43" i="31"/>
  <c r="R44" i="31"/>
  <c r="S44" i="31" s="1"/>
  <c r="R45" i="31"/>
  <c r="R46" i="31"/>
  <c r="S46" i="31" s="1"/>
  <c r="R47" i="31"/>
  <c r="S47" i="31" s="1"/>
  <c r="R48" i="31"/>
  <c r="R49" i="31"/>
  <c r="R50" i="31"/>
  <c r="S50" i="31" s="1"/>
  <c r="R51" i="31"/>
  <c r="S51" i="31" s="1"/>
  <c r="R52" i="31"/>
  <c r="S52" i="31" s="1"/>
  <c r="R53" i="31"/>
  <c r="R54" i="31"/>
  <c r="S54" i="31" s="1"/>
  <c r="R55" i="31"/>
  <c r="S55" i="31" s="1"/>
  <c r="R56" i="31"/>
  <c r="S56" i="31" s="1"/>
  <c r="R57" i="31"/>
  <c r="R58" i="31"/>
  <c r="R59" i="31"/>
  <c r="R60" i="31"/>
  <c r="S60" i="31" s="1"/>
  <c r="R61" i="31"/>
  <c r="R62" i="31"/>
  <c r="R63" i="31"/>
  <c r="R64" i="31"/>
  <c r="S64" i="31" s="1"/>
  <c r="R65" i="31"/>
  <c r="R66" i="31"/>
  <c r="R67" i="31"/>
  <c r="S67" i="31" s="1"/>
  <c r="R68" i="31"/>
  <c r="S68" i="31" s="1"/>
  <c r="R69" i="31"/>
  <c r="R70" i="31"/>
  <c r="R71" i="31"/>
  <c r="S71" i="31" s="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S126" i="31" s="1"/>
  <c r="R127" i="31"/>
  <c r="R128" i="31"/>
  <c r="S128" i="31" s="1"/>
  <c r="R129" i="3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S151" i="31" s="1"/>
  <c r="R152" i="31"/>
  <c r="S152" i="31" s="1"/>
  <c r="R153" i="31"/>
  <c r="R154" i="31"/>
  <c r="S154" i="31" s="1"/>
  <c r="R155" i="31"/>
  <c r="R156" i="31"/>
  <c r="S156" i="31" s="1"/>
  <c r="R157" i="31"/>
  <c r="R158" i="31"/>
  <c r="S158" i="31" s="1"/>
  <c r="R159" i="31"/>
  <c r="S159" i="31" s="1"/>
  <c r="R160" i="31"/>
  <c r="R161" i="31"/>
  <c r="R162" i="31"/>
  <c r="S162" i="31" s="1"/>
  <c r="R163" i="31"/>
  <c r="S163" i="31" s="1"/>
  <c r="R164" i="31"/>
  <c r="S164" i="31" s="1"/>
  <c r="R165" i="31"/>
  <c r="R166" i="31"/>
  <c r="S166" i="31" s="1"/>
  <c r="R167" i="31"/>
  <c r="R168" i="31"/>
  <c r="S168" i="31" s="1"/>
  <c r="R169" i="31"/>
  <c r="R170" i="31"/>
  <c r="S170" i="31" s="1"/>
  <c r="R171" i="31"/>
  <c r="S171" i="31" s="1"/>
  <c r="R172" i="31"/>
  <c r="S172" i="31" s="1"/>
  <c r="R173" i="31"/>
  <c r="R174" i="31"/>
  <c r="S174" i="31" s="1"/>
  <c r="R175" i="31"/>
  <c r="R176" i="31"/>
  <c r="S176" i="31" s="1"/>
  <c r="R177" i="3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R192" i="31"/>
  <c r="S192" i="31" s="1"/>
  <c r="R193" i="31"/>
  <c r="R194" i="31"/>
  <c r="S194" i="31" s="1"/>
  <c r="R195" i="31"/>
  <c r="R196" i="31"/>
  <c r="S196" i="31" s="1"/>
  <c r="R197" i="31"/>
  <c r="R198" i="31"/>
  <c r="S198" i="31" s="1"/>
  <c r="R199" i="31"/>
  <c r="S199" i="31" s="1"/>
  <c r="R200" i="31"/>
  <c r="S200" i="31" s="1"/>
  <c r="R201" i="31"/>
  <c r="R202" i="31"/>
  <c r="S202" i="31" s="1"/>
  <c r="R203" i="31"/>
  <c r="R204" i="31"/>
  <c r="S204" i="31" s="1"/>
  <c r="R205" i="31"/>
  <c r="R206" i="31"/>
  <c r="S206" i="31" s="1"/>
  <c r="R207" i="31"/>
  <c r="S207" i="31" s="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S223" i="31" s="1"/>
  <c r="R224" i="3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R238" i="31"/>
  <c r="S238" i="31" s="1"/>
  <c r="R239" i="31"/>
  <c r="R240" i="31"/>
  <c r="S240" i="31" s="1"/>
  <c r="R241" i="31"/>
  <c r="R242" i="31"/>
  <c r="S242" i="31" s="1"/>
  <c r="R243" i="31"/>
  <c r="S243" i="31" s="1"/>
  <c r="R244" i="31"/>
  <c r="S244" i="31" s="1"/>
  <c r="R245" i="31"/>
  <c r="R246" i="31"/>
  <c r="S246" i="31" s="1"/>
  <c r="R247" i="3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R460" i="31"/>
  <c r="S460" i="31" s="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R480" i="31"/>
  <c r="S480" i="31" s="1"/>
  <c r="R481" i="31"/>
  <c r="R482" i="31"/>
  <c r="R483" i="31"/>
  <c r="R484" i="31"/>
  <c r="S484" i="31" s="1"/>
  <c r="R485" i="31"/>
  <c r="R486" i="31"/>
  <c r="R487" i="31"/>
  <c r="S487" i="31" s="1"/>
  <c r="R488" i="31"/>
  <c r="S488" i="31" s="1"/>
  <c r="R489" i="31"/>
  <c r="R490" i="31"/>
  <c r="R491" i="31"/>
  <c r="S491" i="31" s="1"/>
  <c r="R492" i="31"/>
  <c r="S492" i="31" s="1"/>
  <c r="R493" i="31"/>
  <c r="R494" i="31"/>
  <c r="R495" i="31"/>
  <c r="R496" i="31"/>
  <c r="S496" i="31" s="1"/>
  <c r="R497" i="31"/>
  <c r="R498" i="31"/>
  <c r="R499" i="31"/>
  <c r="S499" i="31" s="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B5" i="3" s="1"/>
  <c r="BC16" i="3"/>
  <c r="BA16" i="3" s="1"/>
  <c r="BD16" i="3"/>
  <c r="BE16" i="3"/>
  <c r="BF16" i="3"/>
  <c r="BG16" i="3"/>
  <c r="BH16" i="3"/>
  <c r="BI16" i="3"/>
  <c r="BJ16" i="3"/>
  <c r="BK16" i="3"/>
  <c r="BB17" i="3"/>
  <c r="BC17" i="3"/>
  <c r="BD17" i="3"/>
  <c r="BE17" i="3"/>
  <c r="BF17" i="3"/>
  <c r="BG17" i="3"/>
  <c r="BH17" i="3"/>
  <c r="BI17" i="3"/>
  <c r="BJ17" i="3"/>
  <c r="BK17" i="3"/>
  <c r="BC10" i="3"/>
  <c r="BD10" i="3"/>
  <c r="BB10" i="3"/>
  <c r="H13" i="3"/>
  <c r="AC13" i="3"/>
  <c r="H14" i="3"/>
  <c r="G14" i="3" s="1"/>
  <c r="I3" i="80"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6" i="31"/>
  <c r="S334" i="31"/>
  <c r="S330" i="31"/>
  <c r="S326" i="31"/>
  <c r="S322" i="31"/>
  <c r="S318" i="31"/>
  <c r="S314" i="31"/>
  <c r="S310" i="31"/>
  <c r="S306" i="31"/>
  <c r="S302" i="31"/>
  <c r="S298" i="31"/>
  <c r="S294" i="31"/>
  <c r="S290" i="31"/>
  <c r="S286" i="31"/>
  <c r="S282" i="31"/>
  <c r="S274" i="31"/>
  <c r="S266" i="31"/>
  <c r="S258" i="31"/>
  <c r="S253" i="31"/>
  <c r="S249" i="31"/>
  <c r="S247" i="31"/>
  <c r="S245" i="31"/>
  <c r="S241" i="31"/>
  <c r="S239" i="31"/>
  <c r="S237" i="31"/>
  <c r="S233" i="31"/>
  <c r="S231" i="31"/>
  <c r="S229" i="31"/>
  <c r="S225" i="31"/>
  <c r="S224" i="31"/>
  <c r="S429" i="31"/>
  <c r="S427" i="31"/>
  <c r="S426" i="31"/>
  <c r="S425" i="31"/>
  <c r="S221" i="31"/>
  <c r="S219" i="31"/>
  <c r="S217" i="31"/>
  <c r="S213" i="31"/>
  <c r="S211" i="31"/>
  <c r="S209" i="31"/>
  <c r="S205" i="31"/>
  <c r="S203" i="31"/>
  <c r="S201" i="31"/>
  <c r="S197" i="31"/>
  <c r="S195" i="31"/>
  <c r="S193" i="31"/>
  <c r="S191" i="31"/>
  <c r="S189" i="31"/>
  <c r="S185" i="31"/>
  <c r="S183" i="31"/>
  <c r="S181" i="31"/>
  <c r="S177" i="31"/>
  <c r="S175" i="31"/>
  <c r="S173" i="31"/>
  <c r="S169" i="31"/>
  <c r="S167" i="31"/>
  <c r="S165" i="31"/>
  <c r="S161" i="31"/>
  <c r="S160" i="31"/>
  <c r="S157" i="31"/>
  <c r="S155" i="31"/>
  <c r="S153" i="31"/>
  <c r="S149" i="31"/>
  <c r="S147" i="31"/>
  <c r="S145" i="31"/>
  <c r="S141" i="31"/>
  <c r="S139" i="31"/>
  <c r="S137" i="31"/>
  <c r="S133" i="31"/>
  <c r="S131" i="31"/>
  <c r="S129" i="31"/>
  <c r="S127" i="31"/>
  <c r="S125" i="31"/>
  <c r="S497" i="31"/>
  <c r="S495" i="31"/>
  <c r="S494" i="31"/>
  <c r="S493" i="31"/>
  <c r="S490" i="31"/>
  <c r="S489" i="31"/>
  <c r="S486" i="31"/>
  <c r="S485" i="31"/>
  <c r="S483" i="31"/>
  <c r="S482" i="31"/>
  <c r="S481" i="31"/>
  <c r="S479" i="31"/>
  <c r="S478" i="31"/>
  <c r="S477" i="31"/>
  <c r="S474" i="31"/>
  <c r="S473" i="31"/>
  <c r="S470" i="31"/>
  <c r="S469" i="31"/>
  <c r="S443" i="31"/>
  <c r="S442" i="31"/>
  <c r="S441" i="31"/>
  <c r="S438" i="31"/>
  <c r="S437" i="31"/>
  <c r="S434" i="31"/>
  <c r="S433" i="31"/>
  <c r="S430" i="31"/>
  <c r="S122" i="31"/>
  <c r="S121" i="31"/>
  <c r="S118" i="31"/>
  <c r="S117" i="31"/>
  <c r="S114" i="31"/>
  <c r="S113" i="31"/>
  <c r="S506" i="31"/>
  <c r="S502" i="31"/>
  <c r="S498" i="31"/>
  <c r="S466" i="31"/>
  <c r="S465" i="31"/>
  <c r="S462" i="31"/>
  <c r="S461" i="31"/>
  <c r="S459" i="31"/>
  <c r="S458" i="31"/>
  <c r="S457" i="31"/>
  <c r="S454" i="31"/>
  <c r="S453" i="31"/>
  <c r="S450" i="31"/>
  <c r="S53" i="31"/>
  <c r="S49" i="31"/>
  <c r="S48" i="31"/>
  <c r="S45" i="31"/>
  <c r="S43" i="31"/>
  <c r="S41" i="31"/>
  <c r="S37" i="31"/>
  <c r="S35" i="31"/>
  <c r="S33" i="31"/>
  <c r="S77" i="31"/>
  <c r="S75" i="31"/>
  <c r="S74" i="31"/>
  <c r="S73" i="31"/>
  <c r="S70" i="31"/>
  <c r="S69" i="31"/>
  <c r="S66" i="31"/>
  <c r="S65" i="31"/>
  <c r="S63" i="31"/>
  <c r="S62" i="31"/>
  <c r="S61" i="31"/>
  <c r="S59" i="31"/>
  <c r="S58" i="31"/>
  <c r="S57" i="31"/>
  <c r="S97" i="31"/>
  <c r="S94" i="31"/>
  <c r="S93" i="31"/>
  <c r="S91" i="31"/>
  <c r="S90" i="31"/>
  <c r="S89" i="31"/>
  <c r="S87" i="31"/>
  <c r="S86" i="31"/>
  <c r="S85" i="31"/>
  <c r="S82" i="31"/>
  <c r="S81" i="31"/>
  <c r="S78" i="31"/>
  <c r="S31" i="31"/>
  <c r="S98" i="31"/>
  <c r="S101" i="31"/>
  <c r="S102" i="31"/>
  <c r="S105" i="31"/>
  <c r="S106" i="31"/>
  <c r="S109" i="31"/>
  <c r="S110"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7" i="31"/>
  <c r="S518" i="31"/>
  <c r="S519"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AC33" i="40" s="1"/>
  <c r="W33" i="40"/>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F13" i="36" s="1"/>
  <c r="S13" i="36" s="1"/>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J32" i="34" s="1"/>
  <c r="W32" i="34" s="1"/>
  <c r="B97" i="34"/>
  <c r="B95" i="34"/>
  <c r="B93" i="34"/>
  <c r="B75" i="34"/>
  <c r="B73" i="34"/>
  <c r="H13" i="34" s="1"/>
  <c r="U13" i="34" s="1"/>
  <c r="B71" i="34"/>
  <c r="B130" i="33"/>
  <c r="B128" i="33"/>
  <c r="F45" i="33" s="1"/>
  <c r="B126" i="33"/>
  <c r="B98" i="33"/>
  <c r="F31" i="33" s="1"/>
  <c r="B96" i="33"/>
  <c r="B94" i="33"/>
  <c r="F29" i="33" s="1"/>
  <c r="S29" i="33" s="1"/>
  <c r="B74" i="33"/>
  <c r="J14" i="33" s="1"/>
  <c r="B72" i="33"/>
  <c r="B70" i="33"/>
  <c r="J12" i="33"/>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F44" i="21" s="1"/>
  <c r="AA44" i="21" s="1"/>
  <c r="B98" i="21"/>
  <c r="H31" i="21"/>
  <c r="B96" i="21"/>
  <c r="B94" i="21"/>
  <c r="B92" i="21"/>
  <c r="J28" i="21" s="1"/>
  <c r="W28" i="21" s="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U9" i="39"/>
  <c r="W40" i="39"/>
  <c r="W25" i="37"/>
  <c r="W31" i="37"/>
  <c r="E103" i="37"/>
  <c r="F103" i="37" s="1"/>
  <c r="G103" i="37" s="1"/>
  <c r="H103" i="37" s="1"/>
  <c r="I103" i="37" s="1"/>
  <c r="J103" i="37" s="1"/>
  <c r="K103" i="37" s="1"/>
  <c r="L103" i="37" s="1"/>
  <c r="M103" i="37" s="1"/>
  <c r="F29" i="36"/>
  <c r="AA29" i="36" s="1"/>
  <c r="F16" i="36"/>
  <c r="AA16" i="36" s="1"/>
  <c r="W28" i="36"/>
  <c r="H22" i="35"/>
  <c r="AB22" i="35" s="1"/>
  <c r="W28" i="35"/>
  <c r="U31" i="35"/>
  <c r="W22" i="35"/>
  <c r="U34" i="35"/>
  <c r="F36" i="34"/>
  <c r="J35" i="34"/>
  <c r="U34" i="34"/>
  <c r="H39" i="33"/>
  <c r="AB39" i="33"/>
  <c r="U33" i="33"/>
  <c r="U35" i="33"/>
  <c r="W33" i="33"/>
  <c r="H39" i="37"/>
  <c r="AB39" i="37" s="1"/>
  <c r="S27" i="35"/>
  <c r="F11" i="40"/>
  <c r="S11" i="40" s="1"/>
  <c r="AA11" i="40"/>
  <c r="H11" i="40"/>
  <c r="AB11" i="40"/>
  <c r="W8" i="40"/>
  <c r="AB39" i="40"/>
  <c r="S34" i="40"/>
  <c r="U38" i="40"/>
  <c r="S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F35" i="40"/>
  <c r="AA35" i="40"/>
  <c r="H23" i="40"/>
  <c r="AB23" i="40" s="1"/>
  <c r="H17" i="40"/>
  <c r="U17" i="40" s="1"/>
  <c r="J15" i="40"/>
  <c r="W15" i="40" s="1"/>
  <c r="J11" i="40"/>
  <c r="W11" i="40"/>
  <c r="AB12" i="35"/>
  <c r="AB12" i="36"/>
  <c r="W32" i="40"/>
  <c r="S44" i="39"/>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F101" i="37"/>
  <c r="G101" i="37" s="1"/>
  <c r="H101" i="37" s="1"/>
  <c r="I101" i="37" s="1"/>
  <c r="J101" i="37" s="1"/>
  <c r="K101" i="37" s="1"/>
  <c r="L101" i="37" s="1"/>
  <c r="M101" i="37" s="1"/>
  <c r="J34" i="37"/>
  <c r="W34" i="37"/>
  <c r="AB34" i="37"/>
  <c r="J33" i="37"/>
  <c r="AC33" i="37" s="1"/>
  <c r="H40" i="34"/>
  <c r="U40" i="34"/>
  <c r="H36" i="34"/>
  <c r="U36" i="34" s="1"/>
  <c r="F37" i="34"/>
  <c r="AA37" i="34" s="1"/>
  <c r="S35" i="34"/>
  <c r="F28" i="34"/>
  <c r="AA28" i="34" s="1"/>
  <c r="F25" i="34"/>
  <c r="S25" i="34" s="1"/>
  <c r="H23" i="34"/>
  <c r="AB23" i="34" s="1"/>
  <c r="J23" i="34"/>
  <c r="F19" i="34"/>
  <c r="H17" i="34"/>
  <c r="U17" i="34" s="1"/>
  <c r="F15" i="34"/>
  <c r="AA15" i="34" s="1"/>
  <c r="J15" i="34"/>
  <c r="H15" i="34"/>
  <c r="AB15" i="34" s="1"/>
  <c r="W8" i="34"/>
  <c r="J28" i="34"/>
  <c r="F41" i="33"/>
  <c r="AA41" i="33"/>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S29" i="35" s="1"/>
  <c r="H29" i="35"/>
  <c r="AB29" i="35" s="1"/>
  <c r="H33" i="37"/>
  <c r="F33" i="37"/>
  <c r="AA33" i="37" s="1"/>
  <c r="U34" i="37"/>
  <c r="J43" i="34"/>
  <c r="AB42" i="34"/>
  <c r="J40" i="34"/>
  <c r="H38" i="34"/>
  <c r="AB38" i="34" s="1"/>
  <c r="J36" i="34"/>
  <c r="H37" i="34"/>
  <c r="U37" i="34" s="1"/>
  <c r="H25" i="34"/>
  <c r="AB25" i="34" s="1"/>
  <c r="J25" i="34"/>
  <c r="AC25" i="34" s="1"/>
  <c r="F23" i="34"/>
  <c r="AA23" i="34"/>
  <c r="J19" i="34"/>
  <c r="AC19" i="34" s="1"/>
  <c r="F17" i="34"/>
  <c r="AA17" i="34" s="1"/>
  <c r="J17" i="34"/>
  <c r="W17" i="34" s="1"/>
  <c r="AB17" i="34"/>
  <c r="S41"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H14" i="21"/>
  <c r="U14" i="21" s="1"/>
  <c r="H28" i="21"/>
  <c r="AB28" i="21" s="1"/>
  <c r="F28" i="21"/>
  <c r="AA28" i="21"/>
  <c r="H30" i="21"/>
  <c r="AB30" i="21" s="1"/>
  <c r="U30" i="21"/>
  <c r="J44" i="21"/>
  <c r="AC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c r="H14" i="36"/>
  <c r="U14" i="36" s="1"/>
  <c r="F28" i="36"/>
  <c r="AA28" i="36" s="1"/>
  <c r="H27" i="21"/>
  <c r="AB27" i="21" s="1"/>
  <c r="J31" i="21"/>
  <c r="AC31" i="21" s="1"/>
  <c r="F31" i="21"/>
  <c r="S31" i="21"/>
  <c r="F45" i="21"/>
  <c r="AA45" i="21" s="1"/>
  <c r="F27" i="33"/>
  <c r="AA27" i="33" s="1"/>
  <c r="J13" i="33"/>
  <c r="H13" i="33"/>
  <c r="U13" i="33" s="1"/>
  <c r="F13" i="33"/>
  <c r="S13" i="33" s="1"/>
  <c r="J29" i="33"/>
  <c r="H29" i="33"/>
  <c r="U29" i="33"/>
  <c r="J31" i="33"/>
  <c r="W31" i="33" s="1"/>
  <c r="H31" i="33"/>
  <c r="H45" i="33"/>
  <c r="U45" i="33"/>
  <c r="J45" i="33"/>
  <c r="W45" i="33" s="1"/>
  <c r="J14" i="34"/>
  <c r="W14" i="34" s="1"/>
  <c r="F14" i="34"/>
  <c r="H14" i="34"/>
  <c r="U14" i="34" s="1"/>
  <c r="H30" i="34"/>
  <c r="F30" i="34"/>
  <c r="S30" i="34" s="1"/>
  <c r="J30" i="34"/>
  <c r="H32" i="34"/>
  <c r="F32" i="34"/>
  <c r="H46" i="34"/>
  <c r="U46" i="34"/>
  <c r="F46" i="34"/>
  <c r="S46" i="34" s="1"/>
  <c r="H11" i="35"/>
  <c r="AB11" i="35" s="1"/>
  <c r="J11" i="35"/>
  <c r="W11" i="35" s="1"/>
  <c r="AC11" i="35"/>
  <c r="J26" i="36"/>
  <c r="W26" i="36" s="1"/>
  <c r="H28" i="36"/>
  <c r="U28" i="36" s="1"/>
  <c r="J32" i="36"/>
  <c r="W32" i="36" s="1"/>
  <c r="J11" i="36"/>
  <c r="AC11" i="36" s="1"/>
  <c r="H11" i="36"/>
  <c r="U11" i="36" s="1"/>
  <c r="F11" i="36"/>
  <c r="AA11" i="36" s="1"/>
  <c r="H13" i="36"/>
  <c r="AB13" i="36"/>
  <c r="J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F14" i="33"/>
  <c r="H30" i="33"/>
  <c r="AB30" i="33"/>
  <c r="F30" i="33"/>
  <c r="J30" i="33"/>
  <c r="J46" i="33"/>
  <c r="AC46" i="33"/>
  <c r="F46" i="33"/>
  <c r="AA46" i="33" s="1"/>
  <c r="H46" i="33"/>
  <c r="AB46" i="33"/>
  <c r="J13" i="34"/>
  <c r="W13" i="34" s="1"/>
  <c r="J29" i="34"/>
  <c r="F29" i="34"/>
  <c r="S29" i="34" s="1"/>
  <c r="H29" i="34"/>
  <c r="AB29" i="34" s="1"/>
  <c r="H45" i="34"/>
  <c r="U45" i="34" s="1"/>
  <c r="J45" i="34"/>
  <c r="W45" i="34"/>
  <c r="F45" i="34"/>
  <c r="S45" i="34" s="1"/>
  <c r="F13" i="35"/>
  <c r="J13" i="35"/>
  <c r="AC13" i="35"/>
  <c r="H13" i="35"/>
  <c r="U13" i="35" s="1"/>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F38" i="37"/>
  <c r="S38" i="37" s="1"/>
  <c r="J14" i="39"/>
  <c r="AC14" i="39" s="1"/>
  <c r="F14" i="39"/>
  <c r="H14" i="39"/>
  <c r="AB14" i="39" s="1"/>
  <c r="F12" i="40"/>
  <c r="S12" i="40"/>
  <c r="H12" i="40"/>
  <c r="AB12" i="40" s="1"/>
  <c r="H30" i="40"/>
  <c r="AB30" i="40"/>
  <c r="F33" i="40"/>
  <c r="AA33" i="40" s="1"/>
  <c r="H33" i="40"/>
  <c r="U33" i="40" s="1"/>
  <c r="J35" i="40"/>
  <c r="AC35" i="40" s="1"/>
  <c r="J37" i="40"/>
  <c r="AC37" i="40"/>
  <c r="H13" i="40"/>
  <c r="U13" i="40" s="1"/>
  <c r="J13" i="40"/>
  <c r="W13" i="40"/>
  <c r="F13" i="40"/>
  <c r="AA13" i="40" s="1"/>
  <c r="F14" i="37"/>
  <c r="AA14" i="37" s="1"/>
  <c r="S14" i="37"/>
  <c r="F27" i="37"/>
  <c r="AA27" i="37" s="1"/>
  <c r="F13" i="39"/>
  <c r="S13" i="39" s="1"/>
  <c r="J13" i="39"/>
  <c r="W13" i="39" s="1"/>
  <c r="H13" i="39"/>
  <c r="AB14" i="40"/>
  <c r="J14" i="40"/>
  <c r="W14" i="40" s="1"/>
  <c r="F14" i="40"/>
  <c r="J14" i="37"/>
  <c r="J27" i="37"/>
  <c r="AC27" i="37"/>
  <c r="U46" i="33"/>
  <c r="J36" i="37"/>
  <c r="AC36" i="37" s="1"/>
  <c r="J10" i="36"/>
  <c r="AC10" i="36" s="1"/>
  <c r="S11" i="36"/>
  <c r="AB46" i="34"/>
  <c r="AB45" i="33"/>
  <c r="AC28" i="21"/>
  <c r="F17" i="21"/>
  <c r="AA17" i="21" s="1"/>
  <c r="H17" i="21"/>
  <c r="AB17" i="21" s="1"/>
  <c r="F15" i="21"/>
  <c r="S15" i="21" s="1"/>
  <c r="J41" i="39"/>
  <c r="W41" i="39" s="1"/>
  <c r="G544" i="3"/>
  <c r="G540" i="3"/>
  <c r="G535" i="3"/>
  <c r="G532" i="3"/>
  <c r="G531" i="3"/>
  <c r="G527" i="3"/>
  <c r="G523" i="3"/>
  <c r="G518" i="3"/>
  <c r="G510" i="3"/>
  <c r="G508" i="3"/>
  <c r="G504" i="3"/>
  <c r="G496" i="3"/>
  <c r="G576" i="3"/>
  <c r="G572" i="3"/>
  <c r="G568" i="3"/>
  <c r="G564" i="3"/>
  <c r="G554" i="3"/>
  <c r="G550" i="3"/>
  <c r="BL568" i="3"/>
  <c r="BL560" i="3"/>
  <c r="BL554" i="3"/>
  <c r="BL546" i="3"/>
  <c r="BL538" i="3"/>
  <c r="BL534" i="3"/>
  <c r="BL530" i="3"/>
  <c r="BL522" i="3"/>
  <c r="BL516" i="3"/>
  <c r="BL512" i="3"/>
  <c r="BL502" i="3"/>
  <c r="BL498" i="3"/>
  <c r="BL494" i="3"/>
  <c r="BL562" i="3"/>
  <c r="BL556" i="3"/>
  <c r="BL552" i="3"/>
  <c r="BL540" i="3"/>
  <c r="BL536" i="3"/>
  <c r="AZ536" i="3" s="1"/>
  <c r="G533" i="3"/>
  <c r="G529" i="3"/>
  <c r="BL528" i="3"/>
  <c r="G525" i="3"/>
  <c r="BL518" i="3"/>
  <c r="BL514" i="3"/>
  <c r="BL510" i="3"/>
  <c r="BL500" i="3"/>
  <c r="BL496" i="3"/>
  <c r="G493" i="3"/>
  <c r="BA582" i="3"/>
  <c r="BA580" i="3"/>
  <c r="BA566" i="3"/>
  <c r="BA564" i="3"/>
  <c r="BA562" i="3"/>
  <c r="BA558" i="3"/>
  <c r="BA556" i="3"/>
  <c r="AZ556" i="3" s="1"/>
  <c r="BA554" i="3"/>
  <c r="AZ554" i="3" s="1"/>
  <c r="BA552" i="3"/>
  <c r="BA548" i="3"/>
  <c r="BA546" i="3"/>
  <c r="AZ546" i="3" s="1"/>
  <c r="BA544" i="3"/>
  <c r="BA542" i="3"/>
  <c r="BA540" i="3"/>
  <c r="BA536" i="3"/>
  <c r="BA532" i="3"/>
  <c r="BA528" i="3"/>
  <c r="BA526" i="3"/>
  <c r="BA524" i="3"/>
  <c r="BA520" i="3"/>
  <c r="BA518" i="3"/>
  <c r="AZ518" i="3" s="1"/>
  <c r="BA516" i="3"/>
  <c r="AZ516" i="3" s="1"/>
  <c r="BA512" i="3"/>
  <c r="AZ512" i="3" s="1"/>
  <c r="BA510" i="3"/>
  <c r="BA508" i="3"/>
  <c r="AZ508" i="3" s="1"/>
  <c r="BA506" i="3"/>
  <c r="BA504" i="3"/>
  <c r="BA502" i="3"/>
  <c r="BA500" i="3"/>
  <c r="AZ500" i="3" s="1"/>
  <c r="BA498" i="3"/>
  <c r="AZ498" i="3" s="1"/>
  <c r="BA496" i="3"/>
  <c r="BA494" i="3"/>
  <c r="BA587" i="3"/>
  <c r="BA583" i="3"/>
  <c r="BA567" i="3"/>
  <c r="BA565" i="3"/>
  <c r="BA563" i="3"/>
  <c r="BA559" i="3"/>
  <c r="BA555" i="3"/>
  <c r="BA553" i="3"/>
  <c r="AZ553" i="3" s="1"/>
  <c r="BA547" i="3"/>
  <c r="BA545" i="3"/>
  <c r="BA543" i="3"/>
  <c r="BA539" i="3"/>
  <c r="BA537" i="3"/>
  <c r="BA535" i="3"/>
  <c r="BA531" i="3"/>
  <c r="BA529" i="3"/>
  <c r="BA527" i="3"/>
  <c r="AZ527" i="3" s="1"/>
  <c r="BA523" i="3"/>
  <c r="BA519" i="3"/>
  <c r="BA517" i="3"/>
  <c r="BA513" i="3"/>
  <c r="BA511" i="3"/>
  <c r="BA507" i="3"/>
  <c r="BA503" i="3"/>
  <c r="BA501" i="3"/>
  <c r="BA499" i="3"/>
  <c r="BA495" i="3"/>
  <c r="BA493" i="3"/>
  <c r="G579" i="3"/>
  <c r="G577" i="3"/>
  <c r="G571" i="3"/>
  <c r="G569" i="3"/>
  <c r="G567" i="3"/>
  <c r="G565" i="3"/>
  <c r="G563" i="3"/>
  <c r="G561" i="3"/>
  <c r="BA557" i="3"/>
  <c r="AZ557" i="3" s="1"/>
  <c r="AC557" i="3"/>
  <c r="G557" i="3" s="1"/>
  <c r="BQ557" i="3"/>
  <c r="BL557" i="3" s="1"/>
  <c r="BQ583" i="3"/>
  <c r="BQ581" i="3"/>
  <c r="BQ579" i="3"/>
  <c r="BQ577" i="3"/>
  <c r="BQ575" i="3"/>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BQ551" i="3"/>
  <c r="BL551" i="3"/>
  <c r="BQ549" i="3"/>
  <c r="BQ547" i="3"/>
  <c r="BL547" i="3" s="1"/>
  <c r="BQ545" i="3"/>
  <c r="BL545" i="3"/>
  <c r="BQ543" i="3"/>
  <c r="BL543" i="3" s="1"/>
  <c r="AZ543" i="3"/>
  <c r="BQ541" i="3"/>
  <c r="BL541" i="3"/>
  <c r="BQ539" i="3"/>
  <c r="BL539" i="3" s="1"/>
  <c r="BQ537" i="3"/>
  <c r="BQ535" i="3"/>
  <c r="BL535" i="3" s="1"/>
  <c r="AZ535" i="3" s="1"/>
  <c r="BQ533" i="3"/>
  <c r="BL533" i="3" s="1"/>
  <c r="BQ531" i="3"/>
  <c r="BQ529" i="3"/>
  <c r="BL529" i="3" s="1"/>
  <c r="BQ527" i="3"/>
  <c r="BL527" i="3" s="1"/>
  <c r="BQ525" i="3"/>
  <c r="BL525" i="3"/>
  <c r="BQ523" i="3"/>
  <c r="BL523" i="3" s="1"/>
  <c r="AZ523" i="3" s="1"/>
  <c r="AC521" i="3"/>
  <c r="G521" i="3"/>
  <c r="BQ521" i="3"/>
  <c r="BL520" i="3"/>
  <c r="AZ520" i="3" s="1"/>
  <c r="G519" i="3"/>
  <c r="G517" i="3"/>
  <c r="G515" i="3"/>
  <c r="G513" i="3"/>
  <c r="G511" i="3"/>
  <c r="BQ519" i="3"/>
  <c r="BQ517" i="3"/>
  <c r="BL517" i="3" s="1"/>
  <c r="BQ515" i="3"/>
  <c r="BL515" i="3" s="1"/>
  <c r="BQ513" i="3"/>
  <c r="BL513" i="3"/>
  <c r="BQ511" i="3"/>
  <c r="BL511" i="3" s="1"/>
  <c r="AZ511" i="3" s="1"/>
  <c r="BA509" i="3"/>
  <c r="AC509" i="3"/>
  <c r="BQ509" i="3"/>
  <c r="BL509" i="3" s="1"/>
  <c r="AZ509" i="3" s="1"/>
  <c r="BL508" i="3"/>
  <c r="G507" i="3"/>
  <c r="G505" i="3"/>
  <c r="G503" i="3"/>
  <c r="G499" i="3"/>
  <c r="G497" i="3"/>
  <c r="G495" i="3"/>
  <c r="BQ507" i="3"/>
  <c r="BQ505" i="3"/>
  <c r="BL505" i="3"/>
  <c r="BQ503" i="3"/>
  <c r="BL503" i="3" s="1"/>
  <c r="BQ501" i="3"/>
  <c r="BL501" i="3" s="1"/>
  <c r="AZ501" i="3" s="1"/>
  <c r="BQ499" i="3"/>
  <c r="BQ497" i="3"/>
  <c r="BL497" i="3" s="1"/>
  <c r="BQ495" i="3"/>
  <c r="BQ493" i="3"/>
  <c r="S505" i="31"/>
  <c r="S501"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c r="H31" i="40"/>
  <c r="U31" i="40" s="1"/>
  <c r="F32" i="40"/>
  <c r="S32" i="40" s="1"/>
  <c r="H32" i="40"/>
  <c r="AB32" i="40" s="1"/>
  <c r="J36" i="40"/>
  <c r="W36" i="40" s="1"/>
  <c r="H19" i="37"/>
  <c r="AB19" i="37" s="1"/>
  <c r="H42" i="33"/>
  <c r="AB42" i="33" s="1"/>
  <c r="J43" i="33"/>
  <c r="AC43" i="33" s="1"/>
  <c r="U14" i="40"/>
  <c r="W23" i="35"/>
  <c r="U39" i="37"/>
  <c r="U26" i="37"/>
  <c r="AC45" i="33"/>
  <c r="U11" i="33"/>
  <c r="U19"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C13" i="40"/>
  <c r="W2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BL549"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AZ355" i="3" s="1"/>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67" i="3"/>
  <c r="AZ168" i="3"/>
  <c r="AZ97" i="3"/>
  <c r="AZ120" i="3"/>
  <c r="AZ128" i="3"/>
  <c r="G534" i="3"/>
  <c r="G530" i="3"/>
  <c r="G522" i="3"/>
  <c r="G516" i="3"/>
  <c r="G512" i="3"/>
  <c r="G498" i="3"/>
  <c r="G494"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BL388" i="3"/>
  <c r="G389" i="3"/>
  <c r="BA391" i="3"/>
  <c r="AZ391" i="3" s="1"/>
  <c r="BL392" i="3"/>
  <c r="AZ392" i="3" s="1"/>
  <c r="G393" i="3"/>
  <c r="AZ291" i="3"/>
  <c r="BJ5" i="3"/>
  <c r="AZ325" i="3"/>
  <c r="AZ341" i="3"/>
  <c r="AZ496" i="3"/>
  <c r="G548" i="3"/>
  <c r="G538" i="3"/>
  <c r="G520" i="3"/>
  <c r="G502" i="3"/>
  <c r="G17" i="3"/>
  <c r="AZ350" i="3"/>
  <c r="BA15" i="3"/>
  <c r="G509" i="3"/>
  <c r="BL493" i="3"/>
  <c r="AZ493" i="3"/>
  <c r="F83" i="43"/>
  <c r="H85" i="43" s="1"/>
  <c r="F50" i="43"/>
  <c r="H54" i="43" s="1"/>
  <c r="F72" i="43"/>
  <c r="H75" i="43" s="1"/>
  <c r="S14" i="35"/>
  <c r="U43" i="21"/>
  <c r="U35" i="21"/>
  <c r="AC35" i="21"/>
  <c r="AC11" i="39"/>
  <c r="AZ563" i="3"/>
  <c r="W37" i="37"/>
  <c r="W44" i="34"/>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H35" i="37"/>
  <c r="U35" i="37" s="1"/>
  <c r="AC14" i="35"/>
  <c r="H20" i="35"/>
  <c r="U20" i="35" s="1"/>
  <c r="F20" i="35"/>
  <c r="S20" i="35" s="1"/>
  <c r="AA20" i="35"/>
  <c r="AB23" i="35"/>
  <c r="AB29" i="36"/>
  <c r="U29" i="36"/>
  <c r="H32" i="37"/>
  <c r="AB32" i="37" s="1"/>
  <c r="F96" i="37"/>
  <c r="J27" i="40"/>
  <c r="AC27" i="40"/>
  <c r="J30" i="40"/>
  <c r="AC30" i="40"/>
  <c r="F30" i="40"/>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72" i="3"/>
  <c r="AZ82"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K6" i="1"/>
  <c r="AP6" i="1" s="1"/>
  <c r="W27" i="34"/>
  <c r="AC27" i="34"/>
  <c r="AB34" i="36"/>
  <c r="U34" i="36"/>
  <c r="AC39" i="40"/>
  <c r="W39" i="40"/>
  <c r="W12" i="33"/>
  <c r="AC12" i="33"/>
  <c r="AA32" i="36"/>
  <c r="S32" i="36"/>
  <c r="U30" i="33"/>
  <c r="F12" i="33"/>
  <c r="H12" i="39"/>
  <c r="AB12" i="39" s="1"/>
  <c r="F39" i="40"/>
  <c r="AZ254" i="3"/>
  <c r="AZ297" i="3"/>
  <c r="B10" i="1"/>
  <c r="E10" i="1" s="1"/>
  <c r="S13" i="1"/>
  <c r="AR13" i="1" s="1"/>
  <c r="R13" i="1"/>
  <c r="J51" i="67"/>
  <c r="C42" i="1"/>
  <c r="C24" i="12" s="1"/>
  <c r="AA34" i="33"/>
  <c r="B41" i="1"/>
  <c r="F48" i="9" s="1"/>
  <c r="O52" i="9" s="1"/>
  <c r="AB37" i="40"/>
  <c r="S35" i="40"/>
  <c r="U35" i="40"/>
  <c r="W38" i="40"/>
  <c r="AA32" i="40"/>
  <c r="S23" i="40"/>
  <c r="AC17" i="40"/>
  <c r="AC15" i="40"/>
  <c r="S30" i="40"/>
  <c r="AA19" i="40"/>
  <c r="S28" i="40"/>
  <c r="U21" i="40"/>
  <c r="AB19" i="40"/>
  <c r="U37" i="39"/>
  <c r="F32" i="39"/>
  <c r="F106" i="39"/>
  <c r="G106" i="39" s="1"/>
  <c r="H106" i="39" s="1"/>
  <c r="I106" i="39" s="1"/>
  <c r="J106" i="39" s="1"/>
  <c r="K106" i="39" s="1"/>
  <c r="L106" i="39" s="1"/>
  <c r="M106" i="39" s="1"/>
  <c r="AB27" i="39"/>
  <c r="J21" i="39"/>
  <c r="W21" i="39" s="1"/>
  <c r="F21" i="39"/>
  <c r="G94" i="39"/>
  <c r="H21" i="39"/>
  <c r="AB21" i="39" s="1"/>
  <c r="W19" i="39"/>
  <c r="U19" i="39"/>
  <c r="S17" i="39"/>
  <c r="S15" i="39"/>
  <c r="S9" i="39"/>
  <c r="U14" i="39"/>
  <c r="AC13"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AC29" i="37"/>
  <c r="U29" i="37"/>
  <c r="W30" i="37"/>
  <c r="S36" i="37"/>
  <c r="AA38" i="37"/>
  <c r="AC35" i="37"/>
  <c r="S30" i="37"/>
  <c r="S37" i="37"/>
  <c r="AC15" i="37"/>
  <c r="J17" i="37"/>
  <c r="W17" i="37"/>
  <c r="G73" i="37"/>
  <c r="F17" i="37"/>
  <c r="AA17" i="37" s="1"/>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S43" i="33"/>
  <c r="F91" i="33"/>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W15" i="21"/>
  <c r="F77" i="21"/>
  <c r="G77" i="21" s="1"/>
  <c r="F23" i="21"/>
  <c r="S23" i="21"/>
  <c r="E85" i="21"/>
  <c r="D120" i="9"/>
  <c r="D121" i="9" s="1"/>
  <c r="D7" i="52" s="1"/>
  <c r="F34" i="67"/>
  <c r="F62" i="67" s="1"/>
  <c r="M20" i="67"/>
  <c r="G13" i="3"/>
  <c r="BA13" i="3"/>
  <c r="BL17" i="3"/>
  <c r="BL13" i="3"/>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W23" i="40"/>
  <c r="U32" i="40"/>
  <c r="AB31" i="40"/>
  <c r="S37" i="40"/>
  <c r="AB28" i="40"/>
  <c r="W28" i="40"/>
  <c r="W34" i="40"/>
  <c r="W27" i="40"/>
  <c r="S36" i="40"/>
  <c r="W37" i="40"/>
  <c r="S33" i="40"/>
  <c r="AA15" i="40"/>
  <c r="U11" i="40"/>
  <c r="S31" i="40"/>
  <c r="AB13" i="40"/>
  <c r="U15" i="40"/>
  <c r="AB17" i="40"/>
  <c r="U8" i="40"/>
  <c r="S8" i="40"/>
  <c r="AA39" i="39"/>
  <c r="AC41" i="39"/>
  <c r="U42" i="39"/>
  <c r="U41" i="39"/>
  <c r="W25" i="39"/>
  <c r="AC25" i="39"/>
  <c r="U13" i="39"/>
  <c r="AB13" i="39"/>
  <c r="AA13" i="39"/>
  <c r="S14" i="39"/>
  <c r="AA14" i="39"/>
  <c r="AB11" i="39"/>
  <c r="U11" i="39"/>
  <c r="AA27" i="39"/>
  <c r="S27" i="39"/>
  <c r="W17" i="39"/>
  <c r="AC17" i="39"/>
  <c r="S23" i="39"/>
  <c r="AA45" i="39"/>
  <c r="AB39" i="39"/>
  <c r="W34" i="39"/>
  <c r="U38" i="39"/>
  <c r="S8" i="39"/>
  <c r="S20" i="36"/>
  <c r="AC25" i="36"/>
  <c r="W29" i="36"/>
  <c r="AC20" i="36"/>
  <c r="U25" i="36"/>
  <c r="AB28" i="36"/>
  <c r="AA13" i="36"/>
  <c r="W9" i="36"/>
  <c r="W22" i="36"/>
  <c r="W23" i="36"/>
  <c r="AB20" i="35"/>
  <c r="AC25" i="35"/>
  <c r="U25" i="35"/>
  <c r="S24" i="35"/>
  <c r="U24" i="35"/>
  <c r="S35" i="35"/>
  <c r="AA16" i="35"/>
  <c r="AA35" i="37"/>
  <c r="W36" i="37"/>
  <c r="S27" i="37"/>
  <c r="S28" i="37"/>
  <c r="W32" i="37"/>
  <c r="U36" i="37"/>
  <c r="S40" i="37"/>
  <c r="AB37" i="37"/>
  <c r="AC34" i="37"/>
  <c r="AA31" i="37"/>
  <c r="U19" i="37"/>
  <c r="AA29" i="37"/>
  <c r="U8" i="37"/>
  <c r="AA40" i="34"/>
  <c r="AB40" i="34"/>
  <c r="U19" i="34"/>
  <c r="W19" i="34"/>
  <c r="AB33" i="34"/>
  <c r="AC45"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AA46" i="34"/>
  <c r="U32" i="34"/>
  <c r="AB32" i="34"/>
  <c r="AB14" i="34"/>
  <c r="AC43" i="34"/>
  <c r="W43" i="34"/>
  <c r="W23" i="34"/>
  <c r="AC23" i="34"/>
  <c r="AC35" i="34"/>
  <c r="W35" i="34"/>
  <c r="AB28" i="33"/>
  <c r="AC37" i="33"/>
  <c r="W46" i="33"/>
  <c r="U39" i="33"/>
  <c r="U38" i="33"/>
  <c r="S33" i="33"/>
  <c r="AB3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A21" i="39"/>
  <c r="S21" i="39"/>
  <c r="AC17" i="37"/>
  <c r="J19" i="37"/>
  <c r="W19" i="37" s="1"/>
  <c r="G75" i="37"/>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A25" i="33"/>
  <c r="G87" i="33"/>
  <c r="H87" i="33" s="1"/>
  <c r="I87" i="33" s="1"/>
  <c r="J87" i="33" s="1"/>
  <c r="K87" i="33" s="1"/>
  <c r="L87" i="33" s="1"/>
  <c r="M87" i="33" s="1"/>
  <c r="J25" i="33"/>
  <c r="AC25" i="33" s="1"/>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11" i="37"/>
  <c r="AC11" i="37" s="1"/>
  <c r="J11" i="34"/>
  <c r="W11" i="34" s="1"/>
  <c r="AB36" i="33"/>
  <c r="W25" i="33"/>
  <c r="AB19" i="33"/>
  <c r="U19" i="33"/>
  <c r="AA17" i="33"/>
  <c r="U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E11" i="76"/>
  <c r="D6" i="73"/>
  <c r="F5" i="73"/>
  <c r="B9" i="76"/>
  <c r="B10" i="76"/>
  <c r="E13" i="76"/>
  <c r="E9" i="76"/>
  <c r="B7" i="76"/>
  <c r="AO13" i="1"/>
  <c r="E7" i="76"/>
  <c r="B11" i="76"/>
  <c r="B13" i="76"/>
  <c r="F6" i="73"/>
  <c r="E12" i="76"/>
  <c r="F4" i="73"/>
  <c r="E2" i="68"/>
  <c r="B8" i="76"/>
  <c r="E8" i="76"/>
  <c r="F7" i="73"/>
  <c r="F3" i="73"/>
  <c r="E10" i="76"/>
  <c r="B12" i="76"/>
  <c r="E2" i="69"/>
  <c r="BE5" i="3" l="1"/>
  <c r="BA17" i="3"/>
  <c r="BL16" i="3"/>
  <c r="AZ16" i="3" s="1"/>
  <c r="BT5" i="3"/>
  <c r="J3" i="80"/>
  <c r="L3" i="80" s="1"/>
  <c r="L9" i="80" s="1"/>
  <c r="L10" i="80" s="1"/>
  <c r="I9" i="80"/>
  <c r="BA14" i="3"/>
  <c r="BR5" i="3"/>
  <c r="K8" i="1"/>
  <c r="M8" i="1" s="1"/>
  <c r="K12" i="1"/>
  <c r="M12" i="1" s="1"/>
  <c r="D33" i="43"/>
  <c r="D1" i="43" s="1"/>
  <c r="U2" i="43"/>
  <c r="U3" i="43" s="1"/>
  <c r="G1" i="67"/>
  <c r="G1" i="68"/>
  <c r="G1" i="69"/>
  <c r="G1" i="15"/>
  <c r="K1" i="12"/>
  <c r="F3" i="35"/>
  <c r="C18" i="9"/>
  <c r="D18" i="9" s="1"/>
  <c r="D52" i="43"/>
  <c r="D56" i="43"/>
  <c r="F34" i="15"/>
  <c r="F62" i="15" s="1"/>
  <c r="M18" i="15"/>
  <c r="F30" i="69"/>
  <c r="F48" i="69" s="1"/>
  <c r="M18" i="67"/>
  <c r="D68" i="9"/>
  <c r="F31" i="12"/>
  <c r="F28" i="15"/>
  <c r="F32" i="67"/>
  <c r="F60" i="67" s="1"/>
  <c r="F28" i="67"/>
  <c r="C28" i="67" s="1"/>
  <c r="F30" i="11"/>
  <c r="C48" i="11" s="1"/>
  <c r="F54" i="9"/>
  <c r="F32" i="15"/>
  <c r="F60" i="15" s="1"/>
  <c r="F52" i="9"/>
  <c r="F30" i="68"/>
  <c r="F48" i="68" s="1"/>
  <c r="C21" i="68"/>
  <c r="D22" i="15"/>
  <c r="AZ17" i="3"/>
  <c r="BH5" i="3"/>
  <c r="BK5" i="3"/>
  <c r="BC5" i="3"/>
  <c r="BM5" i="3"/>
  <c r="BN5" i="3"/>
  <c r="BI5" i="3"/>
  <c r="J56" i="9"/>
  <c r="J57" i="9" s="1"/>
  <c r="J59" i="9" s="1"/>
  <c r="J61" i="9" s="1"/>
  <c r="A2" i="9"/>
  <c r="A4" i="52"/>
  <c r="B41" i="72" s="1"/>
  <c r="AZ575" i="3"/>
  <c r="AZ572" i="3"/>
  <c r="AZ570" i="3"/>
  <c r="S25" i="21"/>
  <c r="AA25" i="21"/>
  <c r="AB13" i="37"/>
  <c r="U13" i="37"/>
  <c r="S14" i="33"/>
  <c r="AA14" i="33"/>
  <c r="AC36" i="34"/>
  <c r="W36" i="34"/>
  <c r="S12" i="36"/>
  <c r="AA12" i="36"/>
  <c r="BA586" i="3"/>
  <c r="BA585" i="3"/>
  <c r="J29" i="21"/>
  <c r="H29" i="21"/>
  <c r="AA40" i="21"/>
  <c r="S40" i="21"/>
  <c r="F26" i="33"/>
  <c r="H26" i="33"/>
  <c r="J26" i="33"/>
  <c r="F44" i="33"/>
  <c r="H44" i="33"/>
  <c r="H31" i="34"/>
  <c r="F31" i="34"/>
  <c r="F47" i="34"/>
  <c r="J47" i="34"/>
  <c r="BA581" i="3"/>
  <c r="BL580" i="3"/>
  <c r="AZ580" i="3" s="1"/>
  <c r="BA579" i="3"/>
  <c r="BL578" i="3"/>
  <c r="BA578" i="3"/>
  <c r="BA577" i="3"/>
  <c r="BL576" i="3"/>
  <c r="BA576" i="3"/>
  <c r="AZ576" i="3" s="1"/>
  <c r="BL574" i="3"/>
  <c r="BA574" i="3"/>
  <c r="BA571" i="3"/>
  <c r="AZ571" i="3" s="1"/>
  <c r="AC27" i="33"/>
  <c r="AC23" i="37"/>
  <c r="AC9" i="21"/>
  <c r="U9" i="21"/>
  <c r="S36" i="33"/>
  <c r="S17" i="37"/>
  <c r="U21" i="39"/>
  <c r="W33" i="34"/>
  <c r="S13" i="40"/>
  <c r="U29" i="34"/>
  <c r="W43" i="33"/>
  <c r="S43" i="34"/>
  <c r="U23" i="37"/>
  <c r="U32" i="37"/>
  <c r="AB31" i="37"/>
  <c r="AB20" i="36"/>
  <c r="U25" i="39"/>
  <c r="AC36" i="40"/>
  <c r="AZ14" i="3"/>
  <c r="AC13" i="34"/>
  <c r="AC29" i="35"/>
  <c r="AZ387" i="3"/>
  <c r="AZ329" i="3"/>
  <c r="W44" i="21"/>
  <c r="AC31" i="33"/>
  <c r="AZ540" i="3"/>
  <c r="H47" i="34"/>
  <c r="H14" i="33"/>
  <c r="S14" i="34"/>
  <c r="AA14" i="34"/>
  <c r="AB36" i="40"/>
  <c r="U36" i="40"/>
  <c r="AB36" i="39"/>
  <c r="U36" i="39"/>
  <c r="J14" i="21"/>
  <c r="F14" i="21"/>
  <c r="J30" i="21"/>
  <c r="F30" i="21"/>
  <c r="AC39" i="33"/>
  <c r="W39" i="33"/>
  <c r="AA45" i="33"/>
  <c r="S45" i="33"/>
  <c r="S9" i="40"/>
  <c r="AA9" i="40"/>
  <c r="H27" i="40"/>
  <c r="F27" i="40"/>
  <c r="S40" i="33"/>
  <c r="AA40" i="33"/>
  <c r="S34" i="37"/>
  <c r="AA34" i="37"/>
  <c r="AA31" i="35"/>
  <c r="S31" i="35"/>
  <c r="J35" i="39"/>
  <c r="AC35" i="39" s="1"/>
  <c r="F35" i="39"/>
  <c r="H35" i="39"/>
  <c r="BL584" i="3"/>
  <c r="BL582" i="3"/>
  <c r="AZ582" i="3" s="1"/>
  <c r="AC17" i="33"/>
  <c r="S13" i="21"/>
  <c r="U23" i="33"/>
  <c r="AB25" i="33"/>
  <c r="AA19" i="37"/>
  <c r="W17" i="21"/>
  <c r="AB35" i="37"/>
  <c r="W35" i="35"/>
  <c r="AC14" i="40"/>
  <c r="W19" i="40"/>
  <c r="S39" i="33"/>
  <c r="AA35" i="33"/>
  <c r="AB17" i="37"/>
  <c r="U12" i="39"/>
  <c r="S17" i="40"/>
  <c r="S19" i="39"/>
  <c r="AC17" i="34"/>
  <c r="AZ364" i="3"/>
  <c r="AZ380" i="3"/>
  <c r="AZ360" i="3"/>
  <c r="AB33" i="40"/>
  <c r="AA13" i="33"/>
  <c r="AZ513" i="3"/>
  <c r="J13" i="21"/>
  <c r="U23" i="34"/>
  <c r="J43" i="39"/>
  <c r="H43" i="39"/>
  <c r="F43" i="39"/>
  <c r="J37" i="39"/>
  <c r="F37" i="39"/>
  <c r="AA38" i="39"/>
  <c r="S38" i="39"/>
  <c r="AC34" i="33"/>
  <c r="W28" i="37"/>
  <c r="AA11" i="39"/>
  <c r="H5" i="3"/>
  <c r="AZ503" i="3"/>
  <c r="AZ529" i="3"/>
  <c r="J31" i="34"/>
  <c r="F13" i="34"/>
  <c r="J44" i="33"/>
  <c r="H44" i="21"/>
  <c r="AB17" i="39"/>
  <c r="U17" i="39"/>
  <c r="B97" i="43"/>
  <c r="B75" i="43"/>
  <c r="H33" i="36"/>
  <c r="J33" i="36"/>
  <c r="AC33" i="36" s="1"/>
  <c r="AB31" i="36"/>
  <c r="U31" i="36"/>
  <c r="J38" i="37"/>
  <c r="H38" i="37"/>
  <c r="H31" i="39"/>
  <c r="F31" i="39"/>
  <c r="J31" i="39"/>
  <c r="AB9" i="40"/>
  <c r="U9" i="40"/>
  <c r="BL558" i="3"/>
  <c r="AZ558" i="3" s="1"/>
  <c r="BL532" i="3"/>
  <c r="AZ532" i="3" s="1"/>
  <c r="BL524" i="3"/>
  <c r="AZ524" i="3" s="1"/>
  <c r="BA521" i="3"/>
  <c r="BA515" i="3"/>
  <c r="AZ515" i="3" s="1"/>
  <c r="BA514" i="3"/>
  <c r="AZ514" i="3" s="1"/>
  <c r="BL504" i="3"/>
  <c r="BP5" i="3"/>
  <c r="BG5" i="3"/>
  <c r="BO5" i="3"/>
  <c r="F29" i="6" s="1"/>
  <c r="BF5" i="3"/>
  <c r="AZ402" i="3"/>
  <c r="AZ547" i="3"/>
  <c r="BL577" i="3"/>
  <c r="AZ577" i="3" s="1"/>
  <c r="AZ494" i="3"/>
  <c r="AZ510" i="3"/>
  <c r="AZ528" i="3"/>
  <c r="AZ564" i="3"/>
  <c r="AZ502" i="3"/>
  <c r="J27" i="21"/>
  <c r="F27" i="21"/>
  <c r="F9" i="34"/>
  <c r="AA9" i="34" s="1"/>
  <c r="J9" i="34"/>
  <c r="J39" i="37"/>
  <c r="F39" i="37"/>
  <c r="S39" i="37" s="1"/>
  <c r="J12" i="39"/>
  <c r="F12" i="39"/>
  <c r="H44" i="39"/>
  <c r="J44" i="39"/>
  <c r="AB34" i="40"/>
  <c r="U34" i="40"/>
  <c r="BL564" i="3"/>
  <c r="BA561" i="3"/>
  <c r="AZ561" i="3" s="1"/>
  <c r="BA560" i="3"/>
  <c r="AZ560" i="3" s="1"/>
  <c r="G560" i="3"/>
  <c r="G553" i="3"/>
  <c r="G551" i="3"/>
  <c r="BL550" i="3"/>
  <c r="BA549" i="3"/>
  <c r="AZ549" i="3" s="1"/>
  <c r="BL544" i="3"/>
  <c r="AZ544" i="3" s="1"/>
  <c r="G543" i="3"/>
  <c r="BL542" i="3"/>
  <c r="AZ542" i="3" s="1"/>
  <c r="G542" i="3"/>
  <c r="BA541" i="3"/>
  <c r="AZ541" i="3" s="1"/>
  <c r="BA538" i="3"/>
  <c r="AZ538" i="3" s="1"/>
  <c r="BL537" i="3"/>
  <c r="AZ537" i="3" s="1"/>
  <c r="BA534" i="3"/>
  <c r="AZ534" i="3" s="1"/>
  <c r="BA533" i="3"/>
  <c r="AZ533" i="3" s="1"/>
  <c r="BA530" i="3"/>
  <c r="AZ530" i="3" s="1"/>
  <c r="BL526" i="3"/>
  <c r="AZ526" i="3" s="1"/>
  <c r="BA525" i="3"/>
  <c r="AZ525" i="3" s="1"/>
  <c r="BA522" i="3"/>
  <c r="AZ522" i="3" s="1"/>
  <c r="BL521" i="3"/>
  <c r="AZ521" i="3" s="1"/>
  <c r="BL506" i="3"/>
  <c r="AZ506" i="3" s="1"/>
  <c r="G506" i="3"/>
  <c r="BA505" i="3"/>
  <c r="AZ505" i="3" s="1"/>
  <c r="BL499" i="3"/>
  <c r="AZ499" i="3" s="1"/>
  <c r="BA497" i="3"/>
  <c r="AZ497" i="3" s="1"/>
  <c r="BL495" i="3"/>
  <c r="AC5" i="3"/>
  <c r="AZ539" i="3"/>
  <c r="AZ504" i="3"/>
  <c r="AZ552" i="3"/>
  <c r="AA14" i="40"/>
  <c r="S14" i="40"/>
  <c r="W28" i="34"/>
  <c r="AC28" i="34"/>
  <c r="U38" i="21"/>
  <c r="AB38" i="21"/>
  <c r="BL585" i="3"/>
  <c r="B72" i="43"/>
  <c r="C15" i="39"/>
  <c r="J12" i="34"/>
  <c r="H12" i="34"/>
  <c r="F36" i="35"/>
  <c r="J36" i="35"/>
  <c r="AC36" i="35" s="1"/>
  <c r="H25" i="37"/>
  <c r="F25" i="37"/>
  <c r="U8" i="39"/>
  <c r="AB8" i="39"/>
  <c r="AC9" i="39"/>
  <c r="W9" i="39"/>
  <c r="AC31" i="40"/>
  <c r="W31" i="40"/>
  <c r="BA584" i="3"/>
  <c r="AZ584" i="3" s="1"/>
  <c r="BL579" i="3"/>
  <c r="G570" i="3"/>
  <c r="BA569" i="3"/>
  <c r="AZ569" i="3" s="1"/>
  <c r="BA568" i="3"/>
  <c r="AZ568" i="3" s="1"/>
  <c r="BL566" i="3"/>
  <c r="AZ566" i="3" s="1"/>
  <c r="BL15" i="3"/>
  <c r="AZ15" i="3" s="1"/>
  <c r="AZ407" i="3"/>
  <c r="AZ413" i="3"/>
  <c r="AZ443" i="3"/>
  <c r="G445" i="3"/>
  <c r="BA448" i="3"/>
  <c r="G452" i="3"/>
  <c r="G453" i="3"/>
  <c r="BL453" i="3"/>
  <c r="AZ453" i="3" s="1"/>
  <c r="BL454" i="3"/>
  <c r="AZ217" i="3"/>
  <c r="G585" i="3"/>
  <c r="BL587" i="3"/>
  <c r="AZ587" i="3" s="1"/>
  <c r="BL586" i="3"/>
  <c r="G574" i="3"/>
  <c r="BL400" i="3"/>
  <c r="AZ400" i="3" s="1"/>
  <c r="BL425" i="3"/>
  <c r="BL426" i="3"/>
  <c r="BA432" i="3"/>
  <c r="AZ432" i="3" s="1"/>
  <c r="AZ451" i="3"/>
  <c r="AZ462" i="3"/>
  <c r="AZ384" i="3"/>
  <c r="AZ357" i="3"/>
  <c r="AZ322" i="3"/>
  <c r="AZ313" i="3"/>
  <c r="AZ394" i="3"/>
  <c r="AB34" i="39"/>
  <c r="BL519" i="3"/>
  <c r="AZ519" i="3" s="1"/>
  <c r="BL531" i="3"/>
  <c r="AZ531" i="3" s="1"/>
  <c r="BL559" i="3"/>
  <c r="AZ559" i="3" s="1"/>
  <c r="BL573" i="3"/>
  <c r="AZ573" i="3" s="1"/>
  <c r="BL583" i="3"/>
  <c r="AZ583" i="3" s="1"/>
  <c r="H32" i="36"/>
  <c r="U30" i="37"/>
  <c r="G587" i="3"/>
  <c r="J12" i="35"/>
  <c r="BA551" i="3"/>
  <c r="AZ551" i="3" s="1"/>
  <c r="BA550" i="3"/>
  <c r="BL548" i="3"/>
  <c r="AZ548" i="3" s="1"/>
  <c r="G399" i="3"/>
  <c r="G402" i="3"/>
  <c r="BL403" i="3"/>
  <c r="G406" i="3"/>
  <c r="G408" i="3"/>
  <c r="BA411" i="3"/>
  <c r="AZ411" i="3" s="1"/>
  <c r="BA417" i="3"/>
  <c r="AZ417" i="3" s="1"/>
  <c r="BL419" i="3"/>
  <c r="AZ419" i="3" s="1"/>
  <c r="BL427" i="3"/>
  <c r="BL433" i="3"/>
  <c r="BA436" i="3"/>
  <c r="G438" i="3"/>
  <c r="AZ444" i="3"/>
  <c r="BA446" i="3"/>
  <c r="AZ458" i="3"/>
  <c r="BL460" i="3"/>
  <c r="BL461" i="3"/>
  <c r="BA463" i="3"/>
  <c r="BA466" i="3"/>
  <c r="AZ476" i="3"/>
  <c r="BL398" i="3"/>
  <c r="BL408" i="3"/>
  <c r="AZ408" i="3" s="1"/>
  <c r="BL412" i="3"/>
  <c r="G413" i="3"/>
  <c r="BL413" i="3"/>
  <c r="G415" i="3"/>
  <c r="BL421" i="3"/>
  <c r="BL422" i="3"/>
  <c r="BA428" i="3"/>
  <c r="AZ428" i="3" s="1"/>
  <c r="BA429" i="3"/>
  <c r="AZ429" i="3" s="1"/>
  <c r="BA430" i="3"/>
  <c r="AZ430" i="3" s="1"/>
  <c r="BA434" i="3"/>
  <c r="BA439" i="3"/>
  <c r="BA440" i="3"/>
  <c r="AZ440" i="3" s="1"/>
  <c r="BA442" i="3"/>
  <c r="BA449" i="3"/>
  <c r="BL457" i="3"/>
  <c r="BA465" i="3"/>
  <c r="AZ465" i="3" s="1"/>
  <c r="BA469" i="3"/>
  <c r="AZ469" i="3" s="1"/>
  <c r="BL472"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BL248" i="3"/>
  <c r="AZ248" i="3" s="1"/>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398" i="3"/>
  <c r="AZ398" i="3" s="1"/>
  <c r="BA399" i="3"/>
  <c r="AZ399" i="3" s="1"/>
  <c r="BL401" i="3"/>
  <c r="AZ401" i="3" s="1"/>
  <c r="BL404" i="3"/>
  <c r="BL405" i="3"/>
  <c r="BL407" i="3"/>
  <c r="BA412" i="3"/>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6" i="3"/>
  <c r="G447" i="3"/>
  <c r="BL448" i="3"/>
  <c r="G450" i="3"/>
  <c r="G451" i="3"/>
  <c r="BA454" i="3"/>
  <c r="AZ454" i="3" s="1"/>
  <c r="BA457" i="3"/>
  <c r="AZ457" i="3" s="1"/>
  <c r="BA459" i="3"/>
  <c r="AZ459" i="3" s="1"/>
  <c r="BA460" i="3"/>
  <c r="AZ460" i="3" s="1"/>
  <c r="BA461" i="3"/>
  <c r="AZ461" i="3" s="1"/>
  <c r="BL464" i="3"/>
  <c r="BL466" i="3"/>
  <c r="G468" i="3"/>
  <c r="G469" i="3"/>
  <c r="BL476" i="3"/>
  <c r="BL477" i="3"/>
  <c r="BL478" i="3"/>
  <c r="BL480" i="3"/>
  <c r="AZ480" i="3" s="1"/>
  <c r="BA483" i="3"/>
  <c r="BL483" i="3"/>
  <c r="BA48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7" i="3"/>
  <c r="AZ127" i="3" s="1"/>
  <c r="BA130" i="3"/>
  <c r="AZ130" i="3" s="1"/>
  <c r="BL130" i="3"/>
  <c r="BL134" i="3"/>
  <c r="BA403" i="3"/>
  <c r="AZ403" i="3" s="1"/>
  <c r="BA404" i="3"/>
  <c r="BA405"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G116" i="3"/>
  <c r="BA117" i="3"/>
  <c r="BL123" i="3"/>
  <c r="AZ123" i="3" s="1"/>
  <c r="BA137" i="3"/>
  <c r="AZ137" i="3" s="1"/>
  <c r="BL138" i="3"/>
  <c r="BA140" i="3"/>
  <c r="AZ140" i="3" s="1"/>
  <c r="BA142" i="3"/>
  <c r="BA148" i="3"/>
  <c r="AZ148" i="3" s="1"/>
  <c r="BL158" i="3"/>
  <c r="BL162" i="3"/>
  <c r="AZ162" i="3" s="1"/>
  <c r="AZ270" i="3"/>
  <c r="AZ302" i="3"/>
  <c r="BA146" i="3"/>
  <c r="AZ146" i="3" s="1"/>
  <c r="BL149" i="3"/>
  <c r="AZ149" i="3" s="1"/>
  <c r="BL150" i="3"/>
  <c r="AZ150" i="3" s="1"/>
  <c r="BA152" i="3"/>
  <c r="AZ152" i="3" s="1"/>
  <c r="BA154" i="3"/>
  <c r="AZ154" i="3" s="1"/>
  <c r="BL161"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BA28" i="3"/>
  <c r="AZ28" i="3" s="1"/>
  <c r="BL30" i="3"/>
  <c r="BL31" i="3"/>
  <c r="AZ31" i="3" s="1"/>
  <c r="BA40" i="3"/>
  <c r="G46" i="3"/>
  <c r="G47" i="3"/>
  <c r="BL48" i="3"/>
  <c r="BA55" i="3"/>
  <c r="AZ55" i="3" s="1"/>
  <c r="BL57" i="3"/>
  <c r="G62" i="3"/>
  <c r="BL62" i="3"/>
  <c r="BL63" i="3"/>
  <c r="G67" i="3"/>
  <c r="BL68" i="3"/>
  <c r="BA69" i="3"/>
  <c r="AZ69" i="3" s="1"/>
  <c r="BL76" i="3"/>
  <c r="BL86" i="3"/>
  <c r="G87" i="3"/>
  <c r="G93" i="3"/>
  <c r="T28" i="71"/>
  <c r="D28" i="71"/>
  <c r="U28" i="71" s="1"/>
  <c r="C27" i="71"/>
  <c r="C60" i="71"/>
  <c r="D59" i="71"/>
  <c r="F66" i="71"/>
  <c r="Q67" i="71"/>
  <c r="BL170" i="3"/>
  <c r="BA173" i="3"/>
  <c r="AZ173" i="3" s="1"/>
  <c r="BA174" i="3"/>
  <c r="BL179" i="3"/>
  <c r="AZ179" i="3" s="1"/>
  <c r="BA181" i="3"/>
  <c r="AZ181" i="3" s="1"/>
  <c r="BA182" i="3"/>
  <c r="AZ182" i="3" s="1"/>
  <c r="BL185" i="3"/>
  <c r="BL193" i="3"/>
  <c r="BL194" i="3"/>
  <c r="AZ194" i="3" s="1"/>
  <c r="BA198" i="3"/>
  <c r="AZ198" i="3" s="1"/>
  <c r="BL206" i="3"/>
  <c r="BA19" i="3"/>
  <c r="BA27" i="3"/>
  <c r="AZ49" i="3"/>
  <c r="AZ62" i="3"/>
  <c r="D44" i="71"/>
  <c r="T44" i="71"/>
  <c r="D34" i="71"/>
  <c r="C35" i="71"/>
  <c r="C55" i="71"/>
  <c r="D54" i="71"/>
  <c r="D67" i="71"/>
  <c r="C66" i="71"/>
  <c r="O67" i="7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BA30" i="3"/>
  <c r="G38" i="3"/>
  <c r="BA38" i="3"/>
  <c r="AZ38" i="3" s="1"/>
  <c r="BL40" i="3"/>
  <c r="BL41" i="3"/>
  <c r="AZ41" i="3" s="1"/>
  <c r="BA52" i="3"/>
  <c r="AZ52" i="3" s="1"/>
  <c r="BL54" i="3"/>
  <c r="BA75" i="3"/>
  <c r="AZ75" i="3" s="1"/>
  <c r="BL85" i="3"/>
  <c r="BA86" i="3"/>
  <c r="AZ86" i="3" s="1"/>
  <c r="C64" i="71"/>
  <c r="D63" i="71"/>
  <c r="AZ25" i="3"/>
  <c r="BA43" i="3"/>
  <c r="BL47" i="3"/>
  <c r="AZ47" i="3" s="1"/>
  <c r="G72" i="3"/>
  <c r="BL73" i="3"/>
  <c r="BA74" i="3"/>
  <c r="AZ74" i="3" s="1"/>
  <c r="G81" i="3"/>
  <c r="BA90" i="3"/>
  <c r="BL93" i="3"/>
  <c r="BA109" i="3"/>
  <c r="D31" i="71"/>
  <c r="C32" i="71"/>
  <c r="D50" i="71"/>
  <c r="C51" i="71"/>
  <c r="S21" i="33"/>
  <c r="BA51" i="3"/>
  <c r="G55" i="3"/>
  <c r="BL56" i="3"/>
  <c r="BA58" i="3"/>
  <c r="BL59" i="3"/>
  <c r="AZ59" i="3" s="1"/>
  <c r="BL60" i="3"/>
  <c r="BA61" i="3"/>
  <c r="AZ61" i="3" s="1"/>
  <c r="BA68" i="3"/>
  <c r="BA73" i="3"/>
  <c r="BA80" i="3"/>
  <c r="BL84" i="3"/>
  <c r="BA89" i="3"/>
  <c r="G103" i="3"/>
  <c r="BA103" i="3"/>
  <c r="AZ103" i="3" s="1"/>
  <c r="BA104" i="3"/>
  <c r="BA106" i="3"/>
  <c r="BL108" i="3"/>
  <c r="AZ108" i="3" s="1"/>
  <c r="BL111" i="3"/>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E23" i="71"/>
  <c r="E22" i="71" s="1"/>
  <c r="E21" i="71" s="1"/>
  <c r="E20" i="71" s="1"/>
  <c r="E19" i="71" s="1"/>
  <c r="E18" i="71" s="1"/>
  <c r="E17" i="71" s="1"/>
  <c r="E16" i="71" s="1"/>
  <c r="BL94" i="3"/>
  <c r="AZ94" i="3" s="1"/>
  <c r="BA100" i="3"/>
  <c r="AZ100" i="3" s="1"/>
  <c r="BA102" i="3"/>
  <c r="AZ102" i="3" s="1"/>
  <c r="BL105" i="3"/>
  <c r="AZ105" i="3" s="1"/>
  <c r="G107" i="3"/>
  <c r="BL107" i="3"/>
  <c r="BA111" i="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0"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F37" i="67"/>
  <c r="F9" i="67"/>
  <c r="M24" i="67"/>
  <c r="F40" i="67"/>
  <c r="F43" i="67"/>
  <c r="M23" i="67"/>
  <c r="M8" i="67"/>
  <c r="F26" i="67"/>
  <c r="J15" i="67"/>
  <c r="F36" i="67"/>
  <c r="F6" i="67"/>
  <c r="M6" i="67"/>
  <c r="F38" i="67"/>
  <c r="F16" i="67"/>
  <c r="L47" i="67"/>
  <c r="F13" i="67"/>
  <c r="M26" i="67"/>
  <c r="M22" i="67"/>
  <c r="F7" i="67"/>
  <c r="M29" i="67"/>
  <c r="F8" i="67"/>
  <c r="M9" i="67"/>
  <c r="F42" i="67"/>
  <c r="M28" i="67"/>
  <c r="L48" i="67"/>
  <c r="C76" i="67"/>
  <c r="M28" i="15"/>
  <c r="F42" i="15"/>
  <c r="F6" i="15"/>
  <c r="F9" i="15"/>
  <c r="F13" i="15"/>
  <c r="F38" i="15"/>
  <c r="F7" i="15"/>
  <c r="F40" i="15"/>
  <c r="C36" i="68"/>
  <c r="M9" i="15"/>
  <c r="M29" i="15"/>
  <c r="F36" i="15"/>
  <c r="F16" i="15"/>
  <c r="C76" i="15"/>
  <c r="M26" i="15"/>
  <c r="F26" i="15"/>
  <c r="D9" i="68"/>
  <c r="F43" i="15"/>
  <c r="D4" i="73"/>
  <c r="M22" i="15"/>
  <c r="D3" i="73"/>
  <c r="D7" i="73"/>
  <c r="M23" i="15"/>
  <c r="M24" i="15"/>
  <c r="D5" i="73"/>
  <c r="M8" i="15"/>
  <c r="F37" i="15"/>
  <c r="L47" i="15"/>
  <c r="C16" i="67"/>
  <c r="F8" i="15"/>
  <c r="J15" i="15"/>
  <c r="M6" i="15"/>
  <c r="L48" i="15"/>
  <c r="E14" i="6" l="1"/>
  <c r="Q71" i="67"/>
  <c r="L56" i="67"/>
  <c r="I54" i="67"/>
  <c r="J53" i="67"/>
  <c r="Q52" i="67" s="1"/>
  <c r="J57" i="67"/>
  <c r="J55" i="67" s="1"/>
  <c r="J58" i="67" s="1"/>
  <c r="Q50" i="67" s="1"/>
  <c r="F51" i="67"/>
  <c r="F50" i="67"/>
  <c r="M7" i="67"/>
  <c r="J6" i="67" s="1"/>
  <c r="J18" i="67" s="1"/>
  <c r="L58" i="67"/>
  <c r="M59" i="67"/>
  <c r="N59" i="67"/>
  <c r="L59" i="67"/>
  <c r="Q61" i="67" s="1"/>
  <c r="F66" i="67"/>
  <c r="F31" i="67"/>
  <c r="C6" i="67"/>
  <c r="F64" i="67"/>
  <c r="C27" i="67"/>
  <c r="F71" i="67"/>
  <c r="F68" i="67"/>
  <c r="F65" i="67"/>
  <c r="F68" i="15"/>
  <c r="M7" i="15"/>
  <c r="M17" i="15" s="1"/>
  <c r="F50" i="15"/>
  <c r="F66" i="15"/>
  <c r="H26" i="43"/>
  <c r="N370" i="46"/>
  <c r="E26" i="43"/>
  <c r="D26" i="43" s="1"/>
  <c r="C25" i="43" s="1"/>
  <c r="G26" i="43"/>
  <c r="N94" i="46"/>
  <c r="J26" i="43"/>
  <c r="E63" i="39"/>
  <c r="E59" i="40"/>
  <c r="E11" i="6"/>
  <c r="E60" i="39" s="1"/>
  <c r="G29" i="6"/>
  <c r="G30" i="6" s="1"/>
  <c r="G31" i="6" s="1"/>
  <c r="E15" i="6"/>
  <c r="E64" i="39" s="1"/>
  <c r="E13" i="6"/>
  <c r="E12" i="6"/>
  <c r="E57" i="40" s="1"/>
  <c r="J7" i="36"/>
  <c r="J57" i="15"/>
  <c r="J55" i="15" s="1"/>
  <c r="J58" i="15" s="1"/>
  <c r="Q50" i="15" s="1"/>
  <c r="I54" i="15"/>
  <c r="J53" i="15"/>
  <c r="L56" i="15" s="1"/>
  <c r="L59" i="15"/>
  <c r="Q74" i="15" s="1"/>
  <c r="N59" i="15"/>
  <c r="M59" i="15"/>
  <c r="L58" i="15"/>
  <c r="Q60" i="15" s="1"/>
  <c r="C27" i="15"/>
  <c r="F65" i="15"/>
  <c r="F71" i="15"/>
  <c r="F64" i="15"/>
  <c r="F51" i="15"/>
  <c r="F31" i="15"/>
  <c r="C6" i="15"/>
  <c r="Q71" i="15"/>
  <c r="E29" i="6"/>
  <c r="K15" i="1" s="1"/>
  <c r="K16" i="1" s="1"/>
  <c r="F30" i="6"/>
  <c r="C40" i="71"/>
  <c r="D39" i="71"/>
  <c r="D75" i="71"/>
  <c r="C74" i="71"/>
  <c r="D74" i="71" s="1"/>
  <c r="C52" i="71"/>
  <c r="D51" i="71"/>
  <c r="AZ19" i="3"/>
  <c r="C26" i="71"/>
  <c r="D26" i="71" s="1"/>
  <c r="D27" i="71"/>
  <c r="AZ243" i="3"/>
  <c r="W12" i="35"/>
  <c r="AC12" i="35"/>
  <c r="AZ448" i="3"/>
  <c r="U25" i="37"/>
  <c r="AB25" i="37"/>
  <c r="W12" i="34"/>
  <c r="AC12" i="34"/>
  <c r="S12" i="39"/>
  <c r="AA12" i="39"/>
  <c r="AC9" i="34"/>
  <c r="W9" i="34"/>
  <c r="AB31" i="39"/>
  <c r="U31" i="39"/>
  <c r="W44" i="33"/>
  <c r="AC44" i="33"/>
  <c r="AA43" i="39"/>
  <c r="S43" i="39"/>
  <c r="AC13" i="21"/>
  <c r="W13" i="21"/>
  <c r="S14" i="21"/>
  <c r="AA14" i="21"/>
  <c r="U14" i="33"/>
  <c r="AB14" i="33"/>
  <c r="AZ574" i="3"/>
  <c r="AA31" i="34"/>
  <c r="S31" i="34"/>
  <c r="W26" i="33"/>
  <c r="AC26" i="33"/>
  <c r="AZ586" i="3"/>
  <c r="D79" i="71"/>
  <c r="C78" i="71"/>
  <c r="D78" i="71" s="1"/>
  <c r="W12" i="39"/>
  <c r="AC12" i="39"/>
  <c r="AB38" i="37"/>
  <c r="U38" i="37"/>
  <c r="AA13" i="34"/>
  <c r="S13" i="34"/>
  <c r="U43" i="39"/>
  <c r="AB43" i="39"/>
  <c r="AB35" i="39"/>
  <c r="U35" i="39"/>
  <c r="W14" i="21"/>
  <c r="AC14" i="21"/>
  <c r="U47" i="34"/>
  <c r="AB47" i="34"/>
  <c r="AB26" i="33"/>
  <c r="U26" i="33"/>
  <c r="AB29" i="21"/>
  <c r="U29" i="21"/>
  <c r="G5" i="3"/>
  <c r="B3" i="3" s="1"/>
  <c r="E212" i="3" s="1"/>
  <c r="AZ111" i="3"/>
  <c r="D83" i="71"/>
  <c r="C82" i="71"/>
  <c r="D82" i="71" s="1"/>
  <c r="AZ51" i="3"/>
  <c r="T32" i="71"/>
  <c r="D32" i="71"/>
  <c r="AZ197" i="3"/>
  <c r="C56" i="71"/>
  <c r="D55" i="71"/>
  <c r="AZ27" i="3"/>
  <c r="AZ118" i="3"/>
  <c r="AZ251" i="3"/>
  <c r="AZ247" i="3"/>
  <c r="AZ464" i="3"/>
  <c r="AZ441" i="3"/>
  <c r="AZ422" i="3"/>
  <c r="AZ405" i="3"/>
  <c r="AZ483" i="3"/>
  <c r="AZ412" i="3"/>
  <c r="AZ274" i="3"/>
  <c r="AZ466" i="3"/>
  <c r="AZ550" i="3"/>
  <c r="S36" i="35"/>
  <c r="AA36" i="35"/>
  <c r="AC44" i="39"/>
  <c r="W44" i="39"/>
  <c r="AA27" i="21"/>
  <c r="S27" i="21"/>
  <c r="W31" i="39"/>
  <c r="AC31" i="39"/>
  <c r="AC38" i="37"/>
  <c r="W38" i="37"/>
  <c r="AB33" i="36"/>
  <c r="U33" i="36"/>
  <c r="AC31" i="34"/>
  <c r="W31" i="34"/>
  <c r="AA37" i="39"/>
  <c r="S37" i="39"/>
  <c r="AC43" i="39"/>
  <c r="W43" i="39"/>
  <c r="AA35" i="39"/>
  <c r="S35" i="39"/>
  <c r="S27" i="40"/>
  <c r="AA27" i="40"/>
  <c r="S30" i="21"/>
  <c r="AA30" i="21"/>
  <c r="W47" i="34"/>
  <c r="AC47" i="34"/>
  <c r="U44" i="33"/>
  <c r="AB44" i="33"/>
  <c r="S26" i="33"/>
  <c r="AA26" i="33"/>
  <c r="AC29" i="21"/>
  <c r="W29" i="21"/>
  <c r="G16" i="1"/>
  <c r="F10" i="39" s="1"/>
  <c r="S10" i="39" s="1"/>
  <c r="C70" i="71"/>
  <c r="D70" i="71" s="1"/>
  <c r="D71" i="71"/>
  <c r="AZ58" i="3"/>
  <c r="O65" i="71"/>
  <c r="D66" i="71"/>
  <c r="O66" i="71"/>
  <c r="C36" i="71"/>
  <c r="D35" i="71"/>
  <c r="D60" i="71"/>
  <c r="T60" i="71"/>
  <c r="AZ404" i="3"/>
  <c r="AZ263" i="3"/>
  <c r="AZ223" i="3"/>
  <c r="AB32" i="36"/>
  <c r="U32" i="36"/>
  <c r="AA25" i="37"/>
  <c r="S25" i="37"/>
  <c r="U12" i="34"/>
  <c r="AB12" i="34"/>
  <c r="AB44" i="39"/>
  <c r="U44" i="39"/>
  <c r="AC39" i="37"/>
  <c r="W39" i="37"/>
  <c r="W27" i="21"/>
  <c r="AC27" i="21"/>
  <c r="AA31" i="39"/>
  <c r="S31" i="39"/>
  <c r="U44" i="21"/>
  <c r="AB44" i="21"/>
  <c r="AC37" i="39"/>
  <c r="W37" i="39"/>
  <c r="U27" i="40"/>
  <c r="AB27" i="40"/>
  <c r="AC30" i="21"/>
  <c r="W30" i="21"/>
  <c r="AZ579" i="3"/>
  <c r="S47" i="34"/>
  <c r="AA47" i="34"/>
  <c r="S44" i="33"/>
  <c r="AA44" i="33"/>
  <c r="AZ585" i="3"/>
  <c r="J7" i="37"/>
  <c r="AC7" i="37" s="1"/>
  <c r="K1" i="73"/>
  <c r="E103" i="3"/>
  <c r="E144" i="3"/>
  <c r="E332" i="3"/>
  <c r="E287" i="3"/>
  <c r="E104" i="3"/>
  <c r="E115" i="3"/>
  <c r="E158" i="3"/>
  <c r="E83" i="3"/>
  <c r="E493" i="3"/>
  <c r="E401" i="3"/>
  <c r="E40" i="3"/>
  <c r="E226" i="3"/>
  <c r="E333" i="3"/>
  <c r="E43" i="3"/>
  <c r="E540" i="3"/>
  <c r="E170" i="3"/>
  <c r="E194" i="3"/>
  <c r="E299" i="3"/>
  <c r="E52" i="3"/>
  <c r="E36" i="3"/>
  <c r="E289" i="3"/>
  <c r="E20" i="3"/>
  <c r="E218" i="3"/>
  <c r="E524" i="3"/>
  <c r="E398" i="3"/>
  <c r="E566" i="3"/>
  <c r="E90" i="3"/>
  <c r="E65" i="3"/>
  <c r="E250" i="3"/>
  <c r="E222" i="3"/>
  <c r="E416" i="3"/>
  <c r="E57" i="3"/>
  <c r="E110" i="3"/>
  <c r="E354" i="3"/>
  <c r="E284" i="3"/>
  <c r="E19" i="3"/>
  <c r="E582" i="3"/>
  <c r="E436" i="3"/>
  <c r="E47" i="3"/>
  <c r="E266" i="3"/>
  <c r="E341" i="3"/>
  <c r="E542" i="3"/>
  <c r="E39" i="3"/>
  <c r="E259" i="3"/>
  <c r="E66" i="3"/>
  <c r="Y6" i="3"/>
  <c r="E179" i="3"/>
  <c r="E488" i="3"/>
  <c r="E195" i="3"/>
  <c r="E154" i="3"/>
  <c r="E413" i="3"/>
  <c r="E504" i="3"/>
  <c r="E98" i="3"/>
  <c r="E82" i="3"/>
  <c r="E122" i="3"/>
  <c r="E461" i="3"/>
  <c r="E306" i="3"/>
  <c r="E157" i="3"/>
  <c r="E313" i="3"/>
  <c r="E529" i="3"/>
  <c r="E438" i="3"/>
  <c r="E288"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67" i="39"/>
  <c r="H7" i="37"/>
  <c r="AB7" i="37" s="1"/>
  <c r="T42" i="37" s="1"/>
  <c r="G42" i="37" s="1"/>
  <c r="H7" i="33"/>
  <c r="J7" i="33"/>
  <c r="D65" i="40"/>
  <c r="E63" i="40"/>
  <c r="F48" i="35"/>
  <c r="S7" i="36"/>
  <c r="AA7" i="36"/>
  <c r="R36" i="36" s="1"/>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AE11" i="1"/>
  <c r="AE9" i="1"/>
  <c r="AE7" i="1"/>
  <c r="AE8" i="1"/>
  <c r="AE12" i="1"/>
  <c r="AE10" i="1"/>
  <c r="F41" i="67"/>
  <c r="F27" i="68"/>
  <c r="C16" i="15"/>
  <c r="G1" i="73"/>
  <c r="J6" i="15" l="1"/>
  <c r="J18" i="15" s="1"/>
  <c r="C49" i="67"/>
  <c r="F59" i="67"/>
  <c r="F1" i="67"/>
  <c r="Q74" i="67"/>
  <c r="J5" i="67"/>
  <c r="J24" i="67" s="1"/>
  <c r="C49" i="15"/>
  <c r="J10" i="40"/>
  <c r="AC10" i="40" s="1"/>
  <c r="H10" i="40"/>
  <c r="AB10" i="40" s="1"/>
  <c r="J10" i="39"/>
  <c r="W10" i="39" s="1"/>
  <c r="AA10" i="39"/>
  <c r="F10" i="40"/>
  <c r="S10" i="40" s="1"/>
  <c r="H10" i="39"/>
  <c r="U10" i="39" s="1"/>
  <c r="E464" i="3"/>
  <c r="E138" i="3"/>
  <c r="E421" i="3"/>
  <c r="E521" i="3"/>
  <c r="E101" i="3"/>
  <c r="E364" i="3"/>
  <c r="AQ6" i="3"/>
  <c r="E455" i="3"/>
  <c r="E346" i="3"/>
  <c r="E422" i="3"/>
  <c r="E78" i="3"/>
  <c r="E251" i="3"/>
  <c r="E76"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W6" i="3"/>
  <c r="H6" i="3" s="1"/>
  <c r="E532" i="3"/>
  <c r="E352" i="3"/>
  <c r="E307" i="3"/>
  <c r="E167" i="3"/>
  <c r="E459" i="3"/>
  <c r="E462" i="3"/>
  <c r="E373" i="3"/>
  <c r="E375" i="3"/>
  <c r="E323" i="3"/>
  <c r="E209" i="3"/>
  <c r="E520" i="3"/>
  <c r="E51" i="3"/>
  <c r="E348" i="3"/>
  <c r="E165" i="3"/>
  <c r="E176" i="3"/>
  <c r="E147" i="3"/>
  <c r="E339" i="3"/>
  <c r="E79" i="3"/>
  <c r="E60" i="3"/>
  <c r="E178" i="3"/>
  <c r="E486" i="3"/>
  <c r="E342" i="3"/>
  <c r="E534" i="3"/>
  <c r="E21" i="3"/>
  <c r="E95" i="3"/>
  <c r="E312" i="3"/>
  <c r="E386" i="3"/>
  <c r="E155" i="3"/>
  <c r="E552" i="3"/>
  <c r="E265" i="3"/>
  <c r="E50" i="3"/>
  <c r="E123" i="3"/>
  <c r="E325" i="3"/>
  <c r="E137" i="3"/>
  <c r="E15" i="3"/>
  <c r="E372" i="3"/>
  <c r="E202" i="3"/>
  <c r="E498" i="3"/>
  <c r="E223" i="3"/>
  <c r="E220" i="3"/>
  <c r="E360" i="3"/>
  <c r="E75" i="3"/>
  <c r="E23" i="3"/>
  <c r="E554"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90" i="3"/>
  <c r="E105" i="3"/>
  <c r="E370" i="3"/>
  <c r="E243" i="3"/>
  <c r="E469" i="3"/>
  <c r="E522" i="3"/>
  <c r="E381" i="3"/>
  <c r="E425" i="3"/>
  <c r="E442" i="3"/>
  <c r="E25" i="3"/>
  <c r="AH6" i="3"/>
  <c r="E543" i="3"/>
  <c r="E16" i="3"/>
  <c r="E49" i="3"/>
  <c r="E428" i="3"/>
  <c r="E452" i="3"/>
  <c r="E140" i="3"/>
  <c r="E129" i="3"/>
  <c r="E264" i="3"/>
  <c r="E300" i="3"/>
  <c r="E363" i="3"/>
  <c r="E536" i="3"/>
  <c r="F59" i="15"/>
  <c r="E16" i="6"/>
  <c r="E56" i="40"/>
  <c r="E61" i="39"/>
  <c r="E65" i="39" s="1"/>
  <c r="Q61" i="15"/>
  <c r="E30" i="6"/>
  <c r="E3" i="6"/>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491" i="3"/>
  <c r="E430" i="3"/>
  <c r="E286"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37" i="3"/>
  <c r="AP6" i="3"/>
  <c r="E502" i="3"/>
  <c r="E539" i="3"/>
  <c r="E420" i="3"/>
  <c r="E497" i="3"/>
  <c r="E408" i="3"/>
  <c r="E405" i="3"/>
  <c r="E173" i="3"/>
  <c r="E22" i="3"/>
  <c r="E102" i="3"/>
  <c r="E34" i="3"/>
  <c r="E235" i="3"/>
  <c r="E18" i="3"/>
  <c r="AL6" i="3"/>
  <c r="E198" i="3"/>
  <c r="E309" i="3"/>
  <c r="E63" i="3"/>
  <c r="E233" i="3"/>
  <c r="E67" i="3"/>
  <c r="E310" i="3"/>
  <c r="E267" i="3"/>
  <c r="E64" i="3"/>
  <c r="E409" i="3"/>
  <c r="E389" i="3"/>
  <c r="E241" i="3"/>
  <c r="E417" i="3"/>
  <c r="E449" i="3"/>
  <c r="E575" i="3"/>
  <c r="Q52" i="15"/>
  <c r="J5" i="15"/>
  <c r="J24" i="15" s="1"/>
  <c r="F1" i="15"/>
  <c r="Q73" i="15"/>
  <c r="W7" i="37"/>
  <c r="U7" i="36"/>
  <c r="D56" i="71"/>
  <c r="T56" i="71"/>
  <c r="E192" i="3"/>
  <c r="E56" i="3"/>
  <c r="E435" i="3"/>
  <c r="I3" i="6"/>
  <c r="E541" i="3"/>
  <c r="R6" i="3"/>
  <c r="E199" i="3"/>
  <c r="E510" i="3"/>
  <c r="E152" i="3"/>
  <c r="E479" i="3"/>
  <c r="E517" i="3"/>
  <c r="E255" i="3"/>
  <c r="E466" i="3"/>
  <c r="E499" i="3"/>
  <c r="D36" i="71"/>
  <c r="T36" i="71"/>
  <c r="T52" i="71"/>
  <c r="D52" i="71"/>
  <c r="T40" i="71"/>
  <c r="D40" i="71"/>
  <c r="B40" i="1"/>
  <c r="L36" i="43" s="1"/>
  <c r="L37" i="43"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AE6" i="1"/>
  <c r="F41" i="15"/>
  <c r="M27" i="15"/>
  <c r="M27" i="67"/>
  <c r="C6" i="68" l="1"/>
  <c r="C48" i="15"/>
  <c r="C66" i="15" s="1"/>
  <c r="AC10" i="39"/>
  <c r="AB10" i="39"/>
  <c r="AC6" i="3"/>
  <c r="E6" i="3" s="1"/>
  <c r="F25" i="12"/>
  <c r="C26" i="12" s="1"/>
  <c r="D25" i="12" s="1"/>
  <c r="F22" i="68"/>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H24" i="6" l="1"/>
  <c r="C44" i="68"/>
  <c r="D41" i="68" s="1"/>
  <c r="D30" i="6"/>
  <c r="F41" i="68"/>
  <c r="C26" i="68"/>
  <c r="D22" i="68" s="1"/>
  <c r="H22" i="6"/>
  <c r="R22" i="6" s="1"/>
  <c r="H25" i="6"/>
  <c r="C44" i="11"/>
  <c r="D41" i="11" s="1"/>
  <c r="C26" i="11"/>
  <c r="D22" i="11" s="1"/>
  <c r="C25" i="11"/>
  <c r="C24" i="11"/>
  <c r="C44" i="69"/>
  <c r="D41" i="69" s="1"/>
  <c r="C26" i="69"/>
  <c r="D22" i="69" s="1"/>
  <c r="C16" i="71"/>
  <c r="D17" i="7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C15" i="12"/>
  <c r="C12" i="12"/>
  <c r="D27" i="6"/>
  <c r="D31" i="6" s="1"/>
  <c r="D8" i="74"/>
  <c r="D7" i="74"/>
  <c r="R21" i="6"/>
  <c r="C10" i="69"/>
  <c r="C8" i="69" s="1"/>
  <c r="C5" i="69" s="1"/>
  <c r="D19" i="69"/>
  <c r="F50" i="69"/>
  <c r="F50" i="11"/>
  <c r="F50" i="68"/>
  <c r="C4" i="52"/>
  <c r="B45" i="72" s="1"/>
  <c r="A10" i="51"/>
  <c r="B9" i="72" s="1"/>
  <c r="A7" i="51"/>
  <c r="B7" i="72" s="1"/>
  <c r="R25" i="6"/>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C34" i="68"/>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1" i="1" l="1"/>
  <c r="R9" i="1"/>
  <c r="R8" i="1"/>
  <c r="R7" i="1"/>
  <c r="R12" i="1"/>
  <c r="R10"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10" i="1"/>
  <c r="AO9"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L66" i="9" l="1"/>
  <c r="M66" i="9" s="1"/>
  <c r="M49" i="9"/>
  <c r="L67" i="9" s="1"/>
  <c r="M67" i="9" s="1"/>
  <c r="L68" i="9" l="1"/>
  <c r="M68" i="9" s="1"/>
  <c r="L63" i="9"/>
  <c r="M63" i="9" s="1"/>
  <c r="M69" i="9" s="1"/>
  <c r="N69" i="9" s="1"/>
  <c r="L64" i="9"/>
  <c r="M64" i="9" s="1"/>
  <c r="L65" i="9"/>
  <c r="M65" i="9" s="1"/>
  <c r="H111" i="9"/>
  <c r="D126" i="9" s="1"/>
  <c r="D19" i="53"/>
  <c r="D20" i="53" s="1"/>
  <c r="B40" i="72" s="1"/>
  <c r="H112" i="9"/>
  <c r="D21" i="53" s="1"/>
  <c r="B39" i="72" s="1"/>
  <c r="C8" i="74"/>
  <c r="D12" i="52" l="1"/>
  <c r="D127" i="9"/>
  <c r="D13" i="52" s="1"/>
  <c r="B38" i="72"/>
  <c r="G118" i="9"/>
  <c r="F118" i="9" s="1"/>
  <c r="I118" i="9"/>
  <c r="I4" i="52" s="1"/>
  <c r="H118" i="9" l="1"/>
  <c r="H119" i="9" s="1"/>
  <c r="H5" i="52" s="1"/>
  <c r="E118" i="9"/>
  <c r="E4" i="52" s="1"/>
  <c r="B48" i="72" s="1"/>
  <c r="F119" i="9"/>
  <c r="F5" i="52" s="1"/>
  <c r="B53" i="72" s="1"/>
  <c r="F4" i="52"/>
  <c r="B51" i="72" s="1"/>
  <c r="C105" i="9"/>
  <c r="G4" i="52"/>
  <c r="B52" i="72" s="1"/>
  <c r="H102" i="9"/>
  <c r="R24" i="31" l="1"/>
  <c r="H101" i="9"/>
  <c r="H107" i="9" s="1"/>
  <c r="B6" i="74" s="1"/>
  <c r="D6" i="74" s="1"/>
  <c r="H4" i="52"/>
  <c r="C104" i="9"/>
  <c r="D118" i="9"/>
  <c r="D119" i="9" s="1"/>
  <c r="D5" i="52" s="1"/>
  <c r="B49" i="72" s="1"/>
  <c r="D7" i="53"/>
  <c r="B21" i="72" s="1"/>
  <c r="D45" i="9" l="1"/>
  <c r="D5" i="53"/>
  <c r="S24" i="31"/>
  <c r="R27" i="31"/>
  <c r="S27" i="31" s="1"/>
  <c r="R29" i="31"/>
  <c r="S29" i="31" s="1"/>
  <c r="R30" i="31"/>
  <c r="S30" i="31" s="1"/>
  <c r="R25" i="31"/>
  <c r="S25" i="31" s="1"/>
  <c r="R26" i="31"/>
  <c r="S26" i="31" s="1"/>
  <c r="R28" i="31"/>
  <c r="S28" i="31" s="1"/>
  <c r="D4" i="52"/>
  <c r="B47" i="72" s="1"/>
  <c r="C75" i="9"/>
  <c r="C77" i="9" s="1"/>
  <c r="C74" i="9" s="1"/>
  <c r="C66" i="9"/>
  <c r="M48" i="9"/>
  <c r="D6" i="53"/>
  <c r="B22" i="72" s="1"/>
  <c r="B20" i="72"/>
  <c r="D13" i="53"/>
  <c r="D122" i="9"/>
  <c r="H108" i="9"/>
  <c r="C93" i="9"/>
  <c r="C86" i="9" s="1"/>
  <c r="C64" i="9"/>
  <c r="C63" i="9" s="1"/>
  <c r="C67" i="9" s="1"/>
  <c r="D52" i="9"/>
  <c r="C85" i="9"/>
  <c r="D55" i="9"/>
  <c r="M53" i="9" s="1"/>
  <c r="C72" i="9"/>
  <c r="D53" i="9"/>
  <c r="C78" i="9"/>
  <c r="S22" i="31" l="1"/>
  <c r="D14" i="74" s="1"/>
  <c r="C73" i="9"/>
  <c r="C79" i="9" s="1"/>
  <c r="C80" i="9" s="1"/>
  <c r="E80" i="9" s="1"/>
  <c r="E81" i="9" s="1"/>
  <c r="C68" i="9"/>
  <c r="D54" i="9" s="1"/>
  <c r="D48" i="9" s="1"/>
  <c r="M52" i="9" s="1"/>
  <c r="D59" i="9"/>
  <c r="M55" i="9" s="1"/>
  <c r="B30" i="72"/>
  <c r="D14" i="53"/>
  <c r="B32" i="72" s="1"/>
  <c r="D8" i="52"/>
  <c r="D123" i="9"/>
  <c r="D9" i="52" s="1"/>
  <c r="C95" i="9"/>
  <c r="D15" i="53"/>
  <c r="B31" i="72" s="1"/>
  <c r="C6" i="74"/>
  <c r="R22" i="31" l="1"/>
  <c r="E14" i="74" s="1"/>
  <c r="B20" i="31"/>
  <c r="B21" i="31" s="1"/>
  <c r="C81" i="9"/>
  <c r="C96" i="9"/>
  <c r="E96" i="9" s="1"/>
  <c r="E97" i="9" s="1"/>
  <c r="B5" i="74" l="1"/>
  <c r="F14" i="74"/>
  <c r="C97" i="9"/>
  <c r="D58" i="9" s="1"/>
  <c r="D56" i="9" s="1"/>
  <c r="M54" i="9" s="1"/>
  <c r="N57" i="9" s="1"/>
  <c r="N59" i="9" s="1"/>
  <c r="D5" i="74" l="1"/>
  <c r="C5" i="74"/>
  <c r="P57" i="9"/>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<sst xmlns="http://schemas.openxmlformats.org/spreadsheetml/2006/main" count="7925" uniqueCount="3493">
  <si>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</si>
  <si>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</si>
  <si>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</si>
  <si>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</si>
  <si>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</si>
  <si>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</si>
  <si>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</si>
  <si>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</si>
  <si>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</si>
  <si>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</si>
  <si>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</si>
  <si>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</si>
  <si>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</si>
  <si>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</si>
  <si>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</si>
  <si>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</si>
  <si>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</si>
  <si>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</si>
  <si>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</si>
  <si>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</si>
  <si>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</si>
  <si>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</si>
  <si>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</si>
  <si>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</si>
  <si>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</si>
  <si>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</si>
  <si>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</si>
  <si>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</si>
  <si>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</si>
  <si>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</si>
  <si>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</si>
  <si>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</si>
  <si>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</si>
  <si>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</si>
  <si>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</si>
  <si>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</si>
  <si>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</si>
  <si>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</si>
  <si>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</si>
  <si>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</si>
  <si>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</si>
  <si>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</si>
  <si>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</si>
  <si>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</si>
  <si>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</si>
  <si>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</si>
  <si>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</si>
  <si>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</si>
  <si>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</si>
  <si>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</si>
  <si>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</si>
  <si>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</si>
  <si>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</si>
  <si>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</si>
  <si>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</si>
  <si>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</si>
  <si>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</si>
  <si>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</si>
  <si>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</si>
  <si>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</si>
  <si>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</si>
  <si>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</si>
  <si>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</si>
  <si>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</si>
  <si>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</si>
  <si>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</si>
  <si>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</si>
  <si>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</si>
  <si>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</si>
  <si>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</si>
  <si>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</si>
  <si>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</si>
  <si>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</si>
  <si>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</si>
  <si>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</si>
  <si>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</si>
  <si>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</si>
  <si>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</si>
  <si>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</si>
  <si>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</si>
  <si>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</si>
  <si>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</si>
  <si>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</si>
  <si>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</si>
  <si>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</si>
  <si>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</si>
  <si>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</si>
  <si>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</si>
  <si>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</si>
  <si>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</si>
  <si>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</si>
  <si>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</si>
  <si>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</si>
  <si>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</si>
  <si>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</si>
  <si>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</si>
  <si>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</si>
  <si>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</si>
  <si>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</si>
  <si>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</si>
  <si>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</si>
  <si>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</si>
  <si>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</si>
  <si>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</si>
  <si>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</si>
  <si>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</si>
  <si>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</si>
  <si>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</si>
  <si>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</si>
  <si>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</si>
  <si>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</si>
  <si>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</si>
  <si>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</si>
  <si>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</si>
  <si>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</si>
  <si>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</si>
  <si>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</si>
  <si>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</si>
  <si>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</si>
  <si>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</si>
  <si>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</si>
  <si>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</si>
  <si>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</si>
  <si>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</si>
  <si>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</si>
  <si>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</si>
  <si>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</si>
  <si>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</si>
  <si>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</si>
  <si>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</si>
  <si>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</si>
  <si>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</si>
  <si>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</si>
  <si>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</si>
  <si>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</si>
  <si>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</si>
  <si>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</si>
  <si>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</si>
  <si>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</si>
  <si>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</si>
  <si>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</si>
  <si>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</si>
  <si>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</si>
  <si>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</si>
  <si>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</si>
  <si>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</si>
  <si>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</si>
  <si>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</si>
  <si>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</si>
  <si>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</si>
  <si>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</si>
  <si>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</si>
  <si>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</si>
  <si>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</si>
  <si>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</si>
  <si>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</si>
  <si>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</si>
  <si>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</si>
  <si>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</si>
  <si>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</si>
  <si>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</si>
  <si>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</si>
  <si>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</si>
  <si>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</si>
  <si>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</si>
  <si>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</si>
  <si>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</si>
  <si>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</si>
  <si>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</si>
  <si>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</si>
  <si>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</si>
  <si>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</si>
  <si>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</si>
  <si>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</si>
  <si>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</si>
  <si>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</si>
  <si>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</si>
  <si>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</si>
  <si>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</si>
  <si>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</si>
  <si>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</si>
  <si>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</si>
  <si>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</si>
  <si>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</si>
  <si>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</si>
  <si>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</si>
  <si>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</si>
  <si>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</si>
  <si>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</si>
  <si>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</si>
  <si>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</si>
  <si>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</si>
  <si>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</si>
  <si>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</si>
  <si>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</si>
  <si>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</si>
  <si>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</si>
  <si>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</si>
  <si>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</si>
  <si>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</si>
  <si>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</si>
  <si>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</si>
  <si>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</si>
  <si>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</si>
  <si>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</si>
  <si>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</si>
  <si>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</si>
  <si>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</si>
  <si>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</si>
  <si>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</si>
  <si>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</si>
  <si>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</si>
  <si>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</si>
  <si>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</si>
  <si>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</si>
  <si>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</si>
  <si>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</si>
  <si>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</si>
  <si>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</si>
  <si>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</si>
  <si>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</si>
  <si>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</si>
  <si>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</si>
  <si>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</si>
  <si>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</si>
  <si>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</si>
  <si>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</si>
  <si>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</si>
  <si>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</si>
  <si>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</si>
  <si>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</si>
  <si>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</si>
  <si>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</si>
  <si>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</si>
  <si>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</si>
  <si>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</si>
  <si>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</si>
  <si>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</si>
  <si>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</si>
  <si>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</si>
  <si>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</si>
  <si>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</si>
  <si>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</si>
  <si>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</si>
  <si>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</si>
  <si>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</si>
  <si>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</si>
  <si>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</si>
  <si>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</si>
  <si>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</si>
  <si>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</si>
  <si>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</si>
  <si>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</si>
  <si>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</si>
  <si>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</si>
  <si>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</si>
  <si>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</si>
  <si>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</si>
  <si>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</si>
  <si>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</si>
  <si>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</si>
  <si>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</si>
  <si>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</si>
  <si>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</si>
  <si>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</si>
  <si>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</si>
  <si>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</si>
  <si>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</si>
  <si>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</si>
  <si>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</si>
  <si>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</si>
  <si>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</si>
  <si>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</si>
  <si>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</si>
  <si>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</si>
  <si>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</si>
  <si>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</si>
  <si>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</si>
  <si>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</si>
  <si>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</si>
  <si>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</si>
  <si>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</si>
  <si>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</si>
  <si>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</si>
  <si>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</si>
  <si>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</si>
  <si>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</si>
  <si>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</si>
  <si>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</si>
  <si>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</si>
  <si>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</si>
  <si>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</si>
  <si>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</si>
  <si>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</si>
  <si>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</si>
  <si>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</si>
  <si>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</si>
  <si>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</si>
  <si>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</si>
  <si>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</si>
  <si>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</si>
  <si>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</si>
  <si>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</si>
  <si>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</si>
  <si>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</si>
  <si>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</si>
  <si>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</si>
  <si>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</si>
  <si>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</si>
  <si>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</si>
  <si>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</si>
  <si>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</si>
  <si>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</si>
  <si>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</si>
  <si>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</si>
  <si>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</si>
  <si>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</si>
  <si>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</si>
  <si>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</si>
  <si>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</si>
  <si>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</si>
  <si>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</si>
  <si>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</si>
  <si>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</si>
  <si>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</si>
  <si>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</si>
  <si>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</si>
  <si>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</si>
  <si>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</si>
  <si>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</si>
  <si>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</si>
  <si>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</si>
  <si>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</si>
  <si>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</si>
  <si>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</si>
  <si>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</si>
  <si>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</si>
  <si>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</si>
  <si>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</si>
  <si>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</si>
  <si>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</si>
  <si>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</si>
  <si>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</si>
  <si>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</si>
  <si>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</si>
  <si>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</si>
  <si>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</si>
  <si>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</si>
  <si>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</si>
  <si>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</si>
  <si>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</si>
  <si>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</si>
  <si>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</si>
  <si>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</si>
  <si>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</si>
  <si>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</si>
  <si>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</si>
  <si>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</si>
  <si>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</si>
  <si>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</si>
  <si>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</si>
  <si>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</si>
  <si>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</si>
  <si>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</si>
  <si>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</si>
  <si>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</si>
  <si>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</si>
  <si>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</si>
  <si>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</si>
  <si>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</si>
  <si>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</si>
  <si>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</si>
  <si>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</si>
  <si>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</si>
  <si>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</si>
  <si>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</si>
  <si>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</si>
  <si>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</si>
  <si>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</si>
  <si>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</si>
  <si>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</si>
  <si>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</si>
  <si>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</si>
  <si>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</si>
  <si>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</si>
  <si>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</si>
  <si>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</si>
  <si>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</si>
  <si>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</si>
  <si>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</si>
  <si>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</si>
  <si>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</si>
  <si>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</si>
  <si>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</si>
  <si>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</si>
  <si>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</si>
  <si>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</si>
  <si>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</si>
  <si>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</si>
  <si>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</si>
  <si>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</si>
  <si>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</si>
  <si>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</si>
  <si>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</si>
  <si>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</si>
  <si>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</si>
  <si>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</si>
  <si>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</si>
  <si>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</si>
  <si>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</si>
  <si>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</si>
  <si>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</si>
  <si>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</si>
  <si>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</si>
  <si>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</si>
  <si>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</si>
  <si>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</si>
  <si>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</si>
  <si>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</si>
  <si>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</si>
  <si>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</si>
  <si>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</si>
  <si>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</si>
  <si>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</si>
  <si>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</si>
  <si>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</si>
  <si>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</si>
  <si>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</si>
  <si>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</si>
  <si>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</si>
  <si>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</si>
  <si>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</si>
  <si>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</si>
  <si>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</si>
  <si>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</si>
  <si>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</si>
  <si>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</si>
  <si>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</si>
  <si>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</si>
  <si>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</si>
  <si>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</si>
  <si>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</si>
  <si>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</si>
  <si>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</si>
  <si>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</si>
  <si>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</si>
  <si>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</si>
  <si>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</si>
  <si>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</si>
  <si>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</si>
  <si>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</si>
  <si>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</si>
  <si>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</si>
  <si>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</si>
  <si>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</si>
  <si>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</si>
  <si>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</si>
  <si>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</si>
  <si>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</si>
  <si>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</si>
  <si>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</si>
  <si>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</si>
  <si>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</si>
  <si>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</si>
  <si>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</si>
  <si>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</si>
  <si>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</si>
  <si>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</si>
  <si>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</si>
  <si>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</si>
  <si>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</si>
  <si>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</si>
  <si>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</si>
  <si>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</si>
  <si>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</si>
  <si>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</si>
  <si>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</si>
  <si>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</si>
  <si>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</si>
  <si>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</si>
  <si>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</si>
  <si>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</si>
  <si>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</si>
  <si>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</si>
  <si>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</si>
  <si>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</si>
  <si>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</si>
  <si>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</si>
  <si>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</si>
  <si>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</si>
  <si>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</si>
  <si>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</si>
  <si>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</si>
  <si>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</si>
  <si>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</si>
  <si>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</si>
  <si>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</si>
  <si>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</si>
  <si>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</si>
  <si>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</si>
  <si>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</si>
  <si>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</si>
  <si>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</si>
  <si>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</si>
  <si>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</si>
  <si>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</si>
  <si>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</si>
  <si>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</si>
  <si>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</si>
  <si>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</si>
  <si>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</si>
  <si>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</si>
  <si>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</si>
  <si>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</si>
  <si>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</si>
  <si>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</si>
  <si>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</si>
  <si>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</si>
  <si>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</si>
  <si>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</si>
  <si>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</si>
  <si>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</si>
  <si>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</si>
  <si>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</si>
  <si>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</si>
  <si>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</si>
  <si>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</si>
  <si>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</si>
  <si>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</si>
  <si>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</si>
  <si>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</si>
  <si>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</si>
  <si>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</si>
  <si>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</si>
  <si>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</si>
  <si>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</si>
  <si>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</si>
  <si>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</si>
  <si>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</si>
  <si>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</si>
  <si>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</si>
  <si>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</si>
  <si>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</si>
  <si>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</si>
  <si>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</si>
  <si>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</si>
  <si>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</si>
  <si>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</si>
  <si>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</si>
  <si>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</si>
  <si>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</si>
  <si>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</si>
  <si>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</si>
  <si>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</si>
  <si>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</si>
  <si>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</si>
  <si>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</si>
  <si>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</si>
  <si>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</si>
  <si>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</si>
  <si>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</si>
  <si>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</si>
  <si>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</si>
  <si>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</si>
  <si>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</si>
  <si>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</si>
  <si>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</si>
  <si>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</si>
  <si>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</si>
  <si>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</si>
  <si>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</si>
  <si>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</si>
  <si>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</si>
  <si>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</si>
  <si>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</si>
  <si>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</si>
  <si>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</si>
  <si>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</si>
  <si>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</si>
  <si>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</si>
  <si>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</si>
  <si>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</si>
  <si>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</si>
  <si>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</si>
  <si>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</si>
  <si>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</si>
  <si>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</si>
  <si>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</si>
  <si>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</si>
  <si>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</si>
  <si>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</si>
  <si>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</si>
  <si>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</si>
  <si>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</si>
  <si>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</si>
  <si>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</si>
  <si>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</si>
  <si>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</si>
  <si>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</si>
  <si>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</si>
  <si>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</si>
  <si>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</si>
  <si>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</si>
  <si>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</si>
  <si>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</si>
  <si>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</si>
  <si>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</si>
  <si>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</si>
  <si>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</si>
  <si>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</si>
  <si>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</si>
  <si>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</si>
  <si>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</si>
  <si>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</si>
  <si>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</si>
  <si>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</si>
  <si>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</si>
  <si>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</si>
  <si>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</si>
  <si>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</si>
  <si>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</si>
  <si>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</si>
  <si>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</si>
  <si>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</si>
  <si>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</si>
  <si>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</si>
  <si>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</si>
  <si>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</si>
  <si>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</si>
  <si>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</si>
  <si>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</si>
  <si>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</si>
  <si>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</si>
  <si>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</si>
  <si>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</si>
  <si>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</si>
  <si>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</si>
  <si>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</si>
  <si>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</si>
  <si>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</si>
  <si>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</si>
  <si>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</si>
  <si>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</si>
  <si>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</si>
  <si>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</si>
  <si>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</si>
  <si>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</si>
  <si>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</si>
  <si>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</si>
  <si>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</si>
  <si>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</si>
  <si>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</si>
  <si>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</si>
  <si>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</si>
  <si>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</si>
  <si>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</si>
  <si>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</si>
  <si>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</si>
  <si>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</si>
  <si>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</si>
  <si>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</si>
  <si>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</si>
  <si>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</si>
  <si>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</si>
  <si>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</si>
  <si>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</si>
  <si>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</si>
  <si>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</si>
  <si>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</si>
  <si>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</si>
  <si>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</si>
  <si>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</si>
  <si>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</si>
  <si>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</si>
  <si>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</si>
  <si>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</si>
  <si>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</si>
  <si>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</si>
  <si>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</si>
  <si>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</si>
  <si>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</si>
  <si>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</si>
  <si>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</si>
  <si>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</si>
  <si>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</si>
  <si>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</si>
  <si>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</si>
  <si>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</si>
  <si>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</si>
  <si>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</si>
  <si>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</si>
  <si>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</si>
  <si>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</si>
  <si>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</si>
  <si>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</si>
  <si>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</si>
  <si>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</si>
  <si>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</si>
  <si>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</si>
  <si>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</si>
  <si>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</si>
  <si>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</si>
  <si>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</si>
  <si>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</si>
  <si>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</si>
  <si>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</si>
  <si>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</si>
  <si>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</si>
  <si>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</si>
  <si>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</si>
  <si>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</si>
  <si>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</si>
  <si>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</si>
  <si>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</si>
  <si>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</si>
  <si>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</si>
  <si>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</si>
  <si>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</si>
  <si>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</si>
  <si>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</si>
  <si>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</si>
  <si>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</si>
  <si>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</si>
  <si>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</si>
  <si>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</si>
  <si>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</si>
  <si>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</si>
  <si>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</si>
  <si>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</si>
  <si>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</si>
  <si>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</si>
  <si>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</si>
  <si>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</si>
  <si>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</si>
  <si>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</si>
  <si>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</si>
  <si>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</si>
  <si>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</si>
  <si>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</si>
  <si>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</si>
  <si>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</si>
  <si>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</si>
  <si>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</si>
  <si>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</si>
  <si>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</si>
  <si>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</si>
  <si>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</si>
  <si>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</si>
  <si>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</si>
  <si>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</si>
  <si>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</si>
  <si>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</si>
  <si>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</si>
  <si>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</si>
  <si>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</si>
  <si>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</si>
  <si>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</si>
  <si>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</si>
  <si>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</si>
  <si>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</si>
  <si>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</si>
  <si>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</si>
  <si>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</si>
  <si>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</si>
  <si>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</si>
  <si>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</si>
  <si>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</si>
  <si>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</si>
  <si>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</si>
  <si>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</si>
  <si>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</si>
  <si>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</si>
  <si>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</si>
  <si>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</si>
  <si>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</si>
  <si>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</si>
  <si>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</si>
  <si>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</si>
  <si>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</si>
  <si>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</si>
  <si>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</si>
  <si>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</si>
  <si>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</si>
  <si>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</si>
  <si>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</si>
  <si>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</si>
  <si>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</si>
  <si>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</si>
  <si>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</si>
  <si>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</si>
  <si>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</si>
  <si>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</si>
  <si>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</si>
  <si>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</si>
  <si>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</si>
  <si>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</si>
  <si>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</si>
  <si>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</si>
  <si>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</si>
  <si>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</si>
  <si>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</si>
  <si>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</si>
  <si>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</si>
  <si>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</si>
  <si>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</si>
  <si>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</si>
  <si>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</si>
  <si>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</si>
  <si>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</si>
  <si>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</si>
  <si>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</si>
  <si>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</si>
  <si>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</si>
  <si>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</si>
  <si>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</si>
  <si>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</si>
  <si>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</si>
  <si>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</si>
  <si>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</si>
  <si>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</si>
  <si>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</si>
  <si>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</si>
  <si>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</si>
  <si>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</si>
  <si>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</si>
  <si>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</si>
  <si>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</si>
  <si>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</si>
  <si>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</si>
  <si>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</si>
  <si>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</si>
  <si>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</si>
  <si>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</si>
  <si>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</si>
  <si>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</si>
  <si>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</si>
  <si>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</si>
  <si>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</si>
  <si>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</si>
  <si>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</si>
  <si>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</si>
  <si>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</si>
  <si>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</si>
  <si>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</si>
  <si>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</si>
  <si>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</si>
  <si>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</si>
  <si>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</si>
  <si>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</si>
  <si>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</si>
  <si>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</si>
  <si>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</si>
  <si>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</si>
  <si>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</si>
  <si>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</si>
  <si>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</si>
  <si>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</si>
  <si>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</si>
  <si>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</si>
  <si>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</si>
  <si>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</si>
  <si>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</si>
  <si>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</si>
  <si>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</si>
  <si>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</si>
  <si>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</si>
  <si>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</si>
  <si>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</si>
  <si>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</si>
  <si>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</si>
  <si>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</si>
  <si>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</si>
  <si>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</si>
  <si>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</si>
  <si>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</si>
  <si>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</si>
  <si>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</si>
  <si>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</si>
  <si>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</si>
  <si>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</si>
  <si>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</si>
  <si>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</si>
  <si>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</si>
  <si>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</si>
  <si>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</si>
  <si>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</si>
  <si>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</si>
  <si>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</si>
  <si>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</si>
  <si>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</si>
  <si>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</si>
  <si>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</si>
  <si>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</si>
  <si>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</si>
  <si>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</si>
  <si>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</si>
  <si>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</si>
  <si>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</si>
  <si>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</si>
  <si>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</si>
  <si>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</si>
  <si>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</si>
  <si>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</si>
  <si>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</si>
  <si>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</si>
  <si>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</si>
  <si>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</si>
  <si>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</si>
  <si>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</si>
  <si>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</si>
  <si>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</si>
  <si>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</si>
  <si>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</si>
  <si>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</si>
  <si>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</si>
  <si>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</si>
  <si>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</si>
  <si>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</si>
  <si>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</si>
  <si>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</si>
  <si>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</si>
  <si>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</si>
  <si>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</si>
  <si>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</si>
  <si>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</si>
  <si>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</si>
  <si>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</si>
  <si>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</si>
  <si>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</si>
  <si>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</si>
  <si>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</si>
  <si>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</si>
  <si>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</si>
  <si>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</si>
  <si>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</si>
  <si>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</si>
  <si>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</si>
  <si>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</si>
  <si>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</si>
  <si>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</si>
  <si>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</si>
  <si>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</si>
  <si>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</si>
  <si>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</si>
  <si>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</si>
  <si>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</si>
  <si>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</si>
  <si>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</si>
  <si>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</si>
  <si>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</si>
  <si>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</si>
  <si>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</si>
  <si>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</si>
  <si>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</si>
  <si>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</si>
  <si>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</si>
  <si>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</si>
  <si>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</si>
  <si>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</si>
  <si>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</si>
  <si>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</si>
  <si>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</si>
  <si>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</si>
  <si>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</si>
  <si>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</si>
  <si>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</si>
  <si>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</si>
  <si>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</si>
  <si>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</si>
  <si>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</si>
  <si>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</si>
  <si>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</si>
  <si>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</si>
  <si>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</si>
  <si>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</si>
  <si>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</si>
  <si>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</si>
  <si>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</si>
  <si>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</si>
  <si>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</si>
  <si>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</si>
  <si>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</si>
  <si>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</si>
  <si>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</si>
  <si>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</si>
  <si>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</si>
  <si>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</si>
  <si>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</si>
  <si>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</si>
  <si>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</si>
  <si>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</si>
  <si>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</si>
  <si>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</si>
  <si>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</si>
  <si>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</si>
  <si>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</si>
  <si>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</si>
  <si>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</si>
  <si>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</si>
  <si>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</si>
  <si>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</si>
  <si>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</si>
  <si>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</si>
  <si>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</si>
  <si>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</si>
  <si>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</si>
  <si>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</si>
  <si>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</si>
  <si>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</si>
  <si>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</si>
  <si>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</si>
  <si>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</si>
  <si>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</si>
  <si>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</si>
  <si>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</si>
  <si>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</si>
  <si>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</si>
  <si>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</si>
  <si>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</si>
  <si>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</si>
  <si>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</si>
  <si>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</si>
  <si>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</si>
  <si>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</si>
  <si>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</si>
  <si>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</si>
  <si>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</si>
  <si>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</si>
  <si>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</si>
  <si>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</si>
  <si>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</si>
  <si>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</si>
  <si>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</si>
  <si>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</si>
  <si>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</si>
  <si>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</si>
  <si>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</si>
  <si>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</si>
  <si>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</si>
  <si>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</si>
  <si>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</si>
  <si>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</si>
  <si>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</si>
  <si>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</si>
  <si>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</si>
  <si>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</si>
  <si>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</si>
  <si>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</si>
  <si>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</si>
  <si>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</si>
  <si>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</si>
  <si>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</si>
  <si>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</si>
  <si>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</si>
  <si>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</si>
  <si>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</si>
  <si>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</si>
  <si>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</si>
  <si>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</si>
  <si>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</si>
  <si>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</si>
  <si>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</si>
  <si>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</si>
  <si>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</si>
  <si>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</si>
  <si>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</si>
  <si>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</si>
  <si>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</si>
  <si>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</si>
  <si>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</si>
  <si>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</si>
  <si>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</si>
  <si>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</si>
  <si>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</si>
  <si>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</si>
  <si>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</si>
  <si>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</si>
  <si>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</si>
  <si>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</si>
  <si>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</si>
  <si>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</si>
  <si>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</si>
  <si>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</si>
  <si>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</si>
  <si>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</si>
  <si>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</si>
  <si>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</si>
  <si>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</si>
  <si>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</si>
  <si>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</si>
  <si>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</si>
  <si>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</si>
  <si>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</si>
  <si>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</si>
  <si>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</si>
  <si>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</si>
  <si>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</si>
  <si>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</si>
  <si>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</si>
  <si>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</si>
  <si>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</si>
  <si>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</si>
  <si>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</si>
  <si>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</si>
  <si>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</si>
  <si>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</si>
  <si>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</si>
  <si>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</si>
  <si>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</si>
  <si>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</si>
  <si>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</si>
  <si>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</si>
  <si>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</si>
  <si>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</si>
  <si>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</si>
  <si>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</si>
  <si>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</si>
  <si>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</si>
  <si>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</si>
  <si>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</si>
  <si>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</si>
  <si>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</si>
  <si>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</si>
  <si>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</si>
  <si>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</si>
  <si>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</si>
  <si>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</si>
  <si>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</si>
  <si>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</si>
  <si>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</si>
  <si>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</si>
  <si>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</si>
  <si>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</si>
  <si>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</si>
  <si>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</si>
  <si>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</si>
  <si>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</si>
  <si>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</si>
  <si>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</si>
  <si>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</si>
  <si>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</si>
  <si>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</si>
  <si>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</si>
  <si>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</si>
  <si>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</si>
  <si>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</si>
  <si>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</si>
  <si>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</si>
  <si>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</si>
  <si>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</si>
  <si>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</si>
  <si>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</si>
  <si>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</si>
  <si>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</si>
  <si>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</si>
  <si>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</si>
  <si>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</si>
  <si>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</si>
  <si>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</si>
  <si>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</si>
  <si>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</si>
  <si>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</si>
  <si>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</si>
  <si>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</si>
  <si>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</si>
  <si>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</si>
  <si>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</si>
  <si>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</si>
  <si>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</si>
  <si>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</si>
  <si>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</si>
  <si>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</si>
  <si>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</si>
  <si>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</si>
  <si>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</si>
  <si>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</si>
  <si>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</si>
  <si>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</si>
  <si>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</si>
  <si>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</si>
  <si>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</si>
  <si>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</si>
  <si>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</si>
  <si>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</si>
  <si>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</si>
  <si>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</si>
  <si>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</si>
  <si>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</si>
  <si>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</si>
  <si>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</si>
  <si>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</si>
  <si>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</si>
  <si>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</si>
  <si>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</si>
  <si>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</si>
  <si>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</si>
  <si>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</si>
  <si>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</si>
  <si>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</si>
  <si>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</si>
  <si>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</si>
  <si>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</si>
  <si>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</si>
  <si>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</si>
  <si>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</si>
  <si>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</si>
  <si>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</si>
  <si>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</si>
  <si>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</si>
  <si>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</si>
  <si>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</si>
  <si>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</si>
  <si>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</si>
  <si>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</si>
  <si>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</si>
  <si>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</si>
  <si>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</si>
  <si>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</si>
  <si>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</si>
  <si>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</si>
  <si>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</si>
  <si>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</si>
  <si>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</si>
  <si>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</si>
  <si>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</si>
  <si>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</si>
  <si>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</si>
  <si>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</si>
  <si>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</si>
  <si>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</si>
  <si>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</si>
  <si>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</si>
  <si>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</si>
  <si>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</si>
  <si>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</si>
  <si>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</si>
  <si>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</si>
  <si>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</si>
  <si>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</si>
  <si>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</si>
  <si>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</si>
  <si>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</si>
  <si>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</si>
  <si>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</si>
  <si>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</si>
  <si>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</si>
  <si>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</si>
  <si>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</si>
  <si>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</si>
  <si>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</si>
  <si>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</si>
  <si>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</si>
  <si>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</si>
  <si>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</si>
  <si>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</si>
  <si>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</si>
  <si>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</si>
  <si>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</si>
  <si>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</si>
  <si>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</si>
  <si>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</si>
  <si>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</si>
  <si>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</si>
  <si>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</si>
  <si>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</si>
  <si>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</si>
  <si>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</si>
  <si>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</si>
  <si>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</si>
  <si>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</si>
  <si>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</si>
  <si>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</si>
  <si>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</si>
  <si>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</si>
  <si>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</si>
  <si>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</si>
  <si>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</si>
  <si>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</si>
  <si>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</si>
  <si>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</si>
  <si>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</si>
  <si>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</si>
  <si>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</si>
  <si>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</si>
  <si>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</si>
  <si>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</si>
  <si>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</si>
  <si>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</si>
  <si>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</si>
  <si>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</si>
  <si>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</si>
  <si>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</si>
  <si>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</si>
  <si>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</si>
  <si>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</si>
  <si>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</si>
  <si>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</si>
  <si>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</si>
  <si>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</si>
  <si>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</si>
  <si>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</si>
  <si>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</si>
  <si>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</si>
  <si>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</si>
  <si>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</si>
  <si>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</si>
  <si>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</si>
  <si>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</si>
  <si>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</si>
  <si>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</si>
  <si>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</si>
  <si>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</si>
  <si>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</si>
  <si>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</si>
  <si>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</si>
  <si>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</si>
  <si>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</si>
  <si>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</si>
  <si>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</si>
  <si>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</si>
  <si>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</si>
  <si>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</si>
  <si>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</si>
  <si>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</si>
  <si>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</si>
  <si>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</si>
  <si>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</si>
  <si>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</si>
  <si>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</si>
  <si>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</si>
  <si>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</si>
  <si>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</si>
  <si>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</si>
  <si>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</si>
  <si>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</si>
  <si>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</si>
  <si>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</si>
  <si>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</si>
  <si>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</si>
  <si>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</si>
  <si>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</si>
  <si>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</si>
  <si>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</si>
  <si>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</si>
  <si>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</si>
  <si>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</si>
  <si>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</si>
  <si>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</si>
  <si>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</si>
  <si>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</si>
  <si>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</si>
  <si>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</si>
  <si>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</si>
  <si>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</si>
  <si>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</si>
  <si>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</si>
  <si>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</si>
  <si>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</si>
  <si>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</si>
  <si>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</si>
  <si>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</si>
  <si>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</si>
  <si>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</si>
  <si>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</si>
  <si>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</si>
  <si>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</si>
  <si>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</si>
  <si>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</si>
  <si>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</si>
  <si>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</si>
  <si>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</si>
  <si>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</si>
  <si>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</si>
  <si>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</si>
  <si>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</si>
  <si>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</si>
  <si>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</si>
  <si>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</si>
  <si>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</si>
  <si>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</si>
  <si>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</si>
  <si>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</si>
  <si>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</si>
  <si>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</si>
  <si>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</si>
  <si>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</si>
  <si>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</si>
  <si>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</si>
  <si>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</si>
  <si>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</si>
  <si>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</si>
  <si>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</si>
  <si>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</si>
  <si>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</si>
  <si>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</si>
  <si>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</si>
  <si>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</si>
  <si>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</si>
  <si>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</si>
  <si>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</si>
  <si>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</si>
  <si>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</si>
  <si>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</si>
  <si>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</si>
  <si>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</si>
  <si>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</si>
  <si>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</si>
  <si>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</si>
  <si>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</si>
  <si>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</si>
  <si>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</si>
  <si>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</si>
  <si>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</si>
  <si>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</si>
  <si>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</si>
  <si>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</si>
  <si>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</si>
  <si>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</si>
  <si>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</si>
  <si>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</si>
  <si>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</si>
  <si>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</si>
  <si>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</si>
  <si>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</si>
  <si>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</si>
  <si>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</si>
  <si>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</si>
  <si>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</si>
  <si>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</si>
  <si>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</si>
  <si>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</si>
  <si>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</si>
  <si>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</si>
  <si>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</si>
  <si>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</si>
  <si>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</si>
  <si>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</si>
  <si>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</si>
  <si>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</si>
  <si>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</si>
  <si>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</si>
  <si>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</si>
  <si>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</si>
  <si>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</si>
  <si>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</si>
  <si>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</si>
  <si>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</si>
  <si>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</si>
  <si>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</si>
  <si>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</si>
  <si>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</si>
  <si>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</si>
  <si>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</si>
  <si>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</si>
  <si>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</si>
  <si>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</si>
  <si>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</si>
  <si>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</si>
  <si>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</si>
  <si>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</si>
  <si>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</si>
  <si>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</si>
  <si>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</si>
  <si>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</si>
  <si>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</si>
  <si>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</si>
  <si>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</si>
  <si>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</si>
  <si>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</si>
  <si>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</si>
  <si>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</si>
  <si>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</si>
  <si>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</si>
  <si>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</si>
  <si>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</si>
  <si>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</si>
  <si>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</si>
  <si>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</si>
  <si>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</si>
  <si>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</si>
  <si>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</si>
  <si>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</si>
  <si>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</si>
  <si>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</si>
  <si>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</si>
  <si>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</si>
  <si>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</si>
  <si>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</si>
  <si>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</si>
  <si>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</si>
  <si>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</si>
  <si>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</si>
  <si>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</si>
  <si>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</si>
  <si>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</si>
  <si>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</si>
  <si>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</si>
  <si>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</si>
  <si>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</si>
  <si>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</si>
  <si>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</si>
  <si>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</si>
  <si>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</si>
  <si>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</si>
  <si>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</si>
  <si>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</si>
  <si>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</si>
  <si>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</si>
  <si>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</si>
  <si>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</si>
  <si>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</si>
  <si>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</si>
  <si>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</si>
  <si>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</si>
  <si>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</si>
  <si>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</si>
  <si>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</si>
  <si>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</si>
  <si>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</si>
  <si>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</si>
  <si>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</si>
  <si>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</si>
  <si>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</si>
  <si>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</si>
  <si>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</si>
  <si>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</si>
  <si>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</si>
  <si>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</si>
  <si>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</si>
  <si>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</si>
  <si>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</si>
  <si>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</si>
  <si>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</si>
  <si>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</si>
  <si>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</si>
  <si>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</si>
  <si>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</si>
  <si>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</si>
  <si>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</si>
  <si>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</si>
  <si>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</si>
  <si>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</si>
  <si>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</si>
  <si>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</si>
  <si>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</si>
  <si>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</si>
  <si>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</si>
  <si>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</si>
  <si>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</si>
  <si>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</si>
  <si>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</si>
  <si>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</si>
  <si>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</si>
  <si>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</si>
  <si>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</si>
  <si>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</si>
  <si>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</si>
  <si>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</si>
  <si>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</si>
  <si>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</si>
  <si>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</si>
  <si>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</si>
  <si>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</si>
  <si>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</si>
  <si>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</si>
  <si>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</si>
  <si>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</si>
  <si>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</si>
  <si>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</si>
  <si>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</si>
  <si>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</si>
  <si>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</si>
  <si>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</si>
  <si>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</si>
  <si>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</si>
  <si>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</si>
  <si>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</si>
  <si>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</si>
  <si>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</si>
  <si>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</si>
  <si>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</si>
  <si>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</si>
  <si>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</si>
  <si>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</si>
  <si>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</si>
  <si>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</si>
  <si>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</si>
  <si>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</si>
  <si>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</si>
  <si>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</si>
  <si>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</si>
  <si>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</si>
  <si>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</si>
  <si>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</si>
  <si>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</si>
  <si>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</si>
  <si>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</si>
  <si>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</si>
  <si>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</si>
  <si>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</si>
  <si>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</si>
  <si>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</si>
  <si>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</si>
  <si>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</si>
  <si>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</si>
  <si>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</si>
  <si>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</si>
  <si>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</si>
  <si>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</si>
  <si>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</si>
  <si>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</si>
  <si>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</si>
  <si>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</si>
  <si>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</si>
  <si>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</si>
  <si>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</si>
  <si>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</si>
  <si>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</si>
  <si>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</si>
  <si>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</si>
  <si>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</si>
  <si>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</si>
  <si>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</si>
  <si>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</si>
  <si>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</si>
  <si>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</si>
  <si>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</si>
  <si>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</si>
  <si>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</si>
  <si>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</si>
  <si>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</si>
  <si>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</si>
  <si>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</si>
  <si>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</si>
  <si>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</si>
  <si>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</si>
  <si>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</si>
  <si>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</si>
  <si>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</si>
  <si>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</si>
  <si>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</si>
  <si>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</si>
  <si>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</si>
  <si>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</si>
  <si>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</si>
  <si>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</si>
  <si>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</si>
  <si>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</si>
  <si>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</si>
  <si>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</si>
  <si>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</si>
  <si>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</si>
  <si>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</si>
  <si>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</si>
  <si>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</si>
  <si>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</si>
  <si>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</si>
  <si>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</si>
  <si>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</si>
  <si>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</si>
  <si>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</si>
  <si>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</si>
  <si>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</si>
  <si>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</si>
  <si>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</si>
  <si>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</si>
  <si>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</si>
  <si>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</si>
  <si>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</si>
  <si>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</si>
  <si>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</si>
  <si>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</si>
  <si>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</si>
  <si>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</si>
  <si>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</si>
  <si>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</si>
  <si>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</si>
  <si>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</si>
  <si>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</si>
  <si>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</si>
  <si>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</si>
  <si>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</si>
  <si>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</si>
  <si>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</si>
  <si>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</si>
  <si>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</si>
  <si>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</si>
  <si>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</si>
  <si>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</si>
  <si>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</si>
  <si>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</si>
  <si>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</si>
  <si>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</si>
  <si>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</si>
  <si>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</si>
  <si>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</si>
  <si>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</si>
  <si>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</si>
  <si>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</si>
  <si>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</si>
  <si>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</si>
  <si>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</si>
  <si>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</si>
  <si>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</si>
  <si>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</si>
  <si>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</si>
  <si>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</si>
  <si>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</si>
  <si>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</si>
  <si>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</si>
  <si>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</si>
  <si>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</si>
  <si>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</si>
  <si>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</si>
  <si>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</si>
  <si>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</si>
  <si>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</si>
  <si>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</si>
  <si>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</si>
  <si>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</si>
  <si>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</si>
  <si>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</si>
  <si>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</si>
  <si>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</si>
  <si>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</si>
  <si>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</si>
  <si>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</si>
  <si>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</si>
  <si>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</si>
  <si>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</si>
  <si>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</si>
  <si>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</si>
  <si>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</si>
  <si>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</si>
  <si>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</si>
  <si>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</si>
  <si>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</si>
  <si>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</si>
  <si>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</si>
  <si>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</si>
  <si>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</si>
  <si>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</si>
  <si>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</si>
  <si>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</si>
  <si>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</si>
  <si>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</si>
  <si>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</si>
  <si>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</si>
  <si>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</si>
  <si>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</si>
  <si>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</si>
  <si>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</si>
  <si>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</si>
  <si>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</si>
  <si>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</si>
  <si>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</si>
  <si>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</si>
  <si>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</si>
  <si>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</si>
  <si>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</si>
  <si>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</si>
  <si>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</si>
  <si>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</si>
  <si>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</si>
  <si>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</si>
  <si>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</si>
  <si>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</si>
  <si>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</si>
  <si>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</si>
  <si>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</si>
  <si>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</si>
  <si>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</si>
  <si>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</si>
  <si>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</si>
  <si>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</si>
  <si>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</si>
  <si>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</si>
  <si>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</si>
  <si>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</si>
  <si>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</si>
  <si>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</si>
  <si>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</si>
  <si>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</si>
  <si>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</si>
  <si>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</si>
  <si>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</si>
  <si>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</si>
  <si>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</si>
  <si>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</si>
  <si>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</si>
  <si>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</si>
  <si>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</si>
  <si>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</si>
  <si>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</si>
  <si>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</si>
  <si>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</si>
  <si>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</si>
  <si>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</si>
  <si>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</si>
  <si>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</si>
  <si>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</si>
  <si>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</si>
  <si>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</si>
  <si>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</si>
  <si>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</si>
  <si>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</si>
  <si>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</si>
  <si>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</si>
  <si>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</si>
  <si>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</si>
  <si>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</si>
  <si>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</si>
  <si>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</si>
  <si>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</si>
  <si>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</si>
  <si>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</si>
  <si>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</si>
  <si>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</si>
  <si>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</si>
  <si>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</si>
  <si>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</si>
  <si>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</si>
  <si>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</si>
  <si>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</si>
  <si>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</si>
  <si>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</si>
  <si>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</si>
  <si>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</si>
  <si>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</si>
  <si>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</si>
  <si>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</si>
  <si>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</si>
  <si>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</si>
  <si>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</si>
  <si>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</si>
  <si>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</si>
  <si>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</si>
  <si>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</si>
  <si>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</si>
  <si>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</si>
  <si>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</si>
  <si>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</si>
  <si>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</si>
  <si>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</si>
  <si>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</si>
  <si>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</si>
  <si>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</si>
  <si>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</si>
  <si>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</si>
  <si>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</si>
  <si>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</si>
  <si>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</si>
  <si>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</si>
  <si>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</si>
  <si>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</si>
  <si>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</si>
  <si>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</si>
  <si>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</si>
  <si>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</si>
  <si>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</si>
  <si>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</si>
  <si>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</si>
  <si>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</si>
  <si>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</si>
  <si>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</si>
  <si>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</si>
  <si>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</si>
  <si>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</si>
  <si>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</si>
  <si>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</si>
  <si>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</si>
  <si>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</si>
  <si>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</si>
  <si>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</si>
  <si>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</si>
  <si>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</si>
  <si>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</si>
  <si>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</si>
  <si>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</si>
  <si>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</si>
  <si>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</si>
  <si>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</si>
  <si>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</si>
  <si>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</si>
  <si>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</si>
  <si>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</si>
  <si>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</si>
  <si>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</si>
  <si>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</si>
  <si>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</si>
  <si>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</si>
  <si>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</si>
  <si>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</si>
  <si>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</si>
  <si>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</si>
  <si>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</si>
  <si>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</si>
  <si>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</si>
  <si>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</si>
  <si>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</si>
  <si>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</si>
  <si>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</si>
  <si>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</si>
  <si>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</si>
  <si>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</si>
  <si>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</si>
  <si>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</si>
  <si>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</si>
  <si>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</si>
  <si>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</si>
  <si>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</si>
  <si>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</si>
  <si>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</si>
  <si>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</si>
  <si>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</si>
  <si>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</si>
  <si>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</si>
  <si>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</si>
  <si>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</si>
  <si>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</si>
  <si>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</si>
  <si>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</si>
  <si>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</si>
  <si>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</si>
  <si>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</si>
  <si>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</si>
  <si>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</si>
  <si>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</si>
  <si>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</si>
  <si>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</si>
  <si>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</si>
  <si>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</si>
  <si>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</si>
  <si>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</si>
  <si>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</si>
  <si>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</si>
  <si>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</si>
  <si>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</si>
  <si>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</si>
  <si>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</si>
  <si>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</si>
  <si>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</si>
  <si>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</si>
  <si>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</si>
  <si>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</si>
  <si>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</si>
  <si>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</si>
  <si>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</si>
  <si>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</si>
  <si>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</si>
  <si>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</si>
  <si>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</si>
  <si>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</si>
  <si>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</si>
  <si>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</si>
  <si>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</si>
  <si>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</si>
  <si>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</si>
  <si>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</si>
  <si>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</si>
  <si>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</si>
  <si>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</si>
  <si>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</si>
  <si>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</si>
  <si>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</si>
  <si>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</si>
  <si>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</si>
  <si>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</si>
  <si>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</si>
  <si>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</si>
  <si>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</si>
  <si>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</si>
  <si>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</si>
  <si>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</si>
  <si>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</si>
  <si>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</si>
  <si>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</si>
  <si>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</si>
  <si>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</si>
  <si>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</si>
  <si>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</si>
  <si>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</si>
  <si>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</si>
  <si>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</si>
  <si>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</si>
  <si>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</si>
  <si>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</si>
  <si>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</si>
  <si>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</si>
  <si>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</si>
  <si>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</si>
  <si>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</si>
  <si>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</si>
  <si>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</si>
  <si>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</si>
  <si>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</si>
  <si>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</si>
  <si>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</si>
  <si>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</si>
  <si>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</si>
  <si>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</si>
  <si>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</si>
  <si>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</si>
  <si>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</si>
  <si>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</si>
  <si>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</si>
  <si>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</si>
  <si>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</si>
  <si>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</si>
  <si>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</si>
  <si>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</si>
  <si>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</si>
  <si>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</si>
  <si>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</si>
  <si>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</si>
  <si>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</si>
  <si>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</si>
  <si>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</si>
  <si>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</si>
  <si>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</si>
  <si>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</si>
  <si>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</si>
  <si>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</si>
  <si>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</si>
  <si>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</si>
  <si>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</si>
  <si>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</si>
  <si>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</si>
  <si>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</si>
  <si>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</si>
  <si>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</si>
  <si>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</si>
  <si>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</si>
  <si>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</si>
  <si>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</si>
  <si>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</si>
  <si>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</si>
  <si>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</si>
  <si>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</si>
  <si>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</si>
  <si>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</si>
  <si>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</si>
  <si>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</si>
  <si>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</si>
  <si>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</si>
  <si>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</si>
  <si>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</si>
  <si>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</si>
  <si>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</si>
  <si>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</si>
  <si>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</si>
  <si>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</si>
  <si>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</si>
  <si>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</si>
  <si>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</si>
  <si>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</si>
  <si>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</si>
  <si>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</si>
  <si>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</si>
  <si>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</si>
  <si>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</si>
  <si>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</si>
  <si>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</si>
  <si>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</si>
  <si>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</si>
  <si>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</si>
  <si>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</si>
  <si>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</si>
  <si>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</si>
  <si>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</si>
  <si>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</si>
  <si>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</si>
  <si>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</si>
  <si>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</si>
  <si>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</si>
  <si>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</si>
  <si>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</si>
  <si>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</si>
  <si>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</si>
  <si>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</si>
  <si>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</si>
  <si>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</si>
  <si>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</si>
  <si>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</si>
  <si>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</si>
  <si>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</si>
  <si>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</si>
  <si>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</si>
  <si>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</si>
  <si>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</si>
  <si>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</si>
  <si>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</si>
  <si>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</si>
  <si>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</si>
  <si>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</si>
  <si>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</si>
  <si>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</si>
  <si>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</si>
  <si>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</si>
  <si>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</si>
  <si>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</si>
  <si>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</si>
  <si>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</si>
  <si>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</si>
  <si>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</si>
  <si>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</si>
  <si>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</si>
  <si>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</si>
  <si>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</si>
  <si>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</si>
  <si>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</si>
  <si>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</si>
  <si>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</si>
  <si>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</si>
  <si>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</si>
  <si>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</si>
  <si>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</si>
  <si>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</si>
  <si>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</si>
  <si>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</si>
  <si>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</si>
  <si>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</si>
  <si>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</si>
  <si>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</si>
  <si>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</si>
  <si>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</si>
  <si>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</si>
  <si>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</si>
  <si>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</si>
  <si>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</si>
  <si>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</si>
  <si>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</si>
  <si>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</si>
  <si>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</si>
  <si>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</si>
  <si>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</si>
  <si>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</si>
  <si>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</si>
  <si>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</si>
  <si>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</si>
  <si>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</si>
  <si>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</si>
  <si>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</si>
  <si>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</si>
  <si>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</si>
  <si>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</si>
  <si>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</si>
  <si>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</si>
  <si>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</si>
  <si>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</si>
  <si>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</si>
  <si>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</si>
  <si>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</si>
  <si>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</si>
  <si>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</si>
  <si>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</si>
  <si>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</si>
  <si>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</si>
  <si>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</si>
  <si>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</si>
  <si>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</si>
  <si>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</si>
  <si>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</si>
  <si>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</si>
  <si>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</si>
  <si>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</si>
  <si>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</si>
  <si>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</si>
  <si>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</si>
  <si>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</si>
  <si>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</si>
  <si>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</si>
  <si>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</si>
  <si>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</si>
  <si>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</si>
  <si>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</si>
  <si>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</si>
  <si>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</si>
  <si>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</si>
  <si>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</si>
  <si>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</si>
  <si>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</si>
  <si>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</si>
  <si>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</si>
  <si>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</si>
  <si>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</si>
  <si>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</si>
  <si>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</si>
  <si>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</si>
  <si>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</si>
  <si>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</si>
  <si>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</si>
  <si>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</si>
  <si>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</si>
  <si>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</si>
  <si>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</si>
  <si>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</si>
  <si>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</si>
  <si>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</si>
  <si>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</si>
  <si>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</si>
  <si>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</si>
  <si>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</si>
  <si>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</si>
  <si>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</si>
  <si>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</si>
  <si>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</si>
  <si>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</si>
  <si>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</si>
  <si>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</si>
  <si>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</si>
  <si>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</si>
  <si>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</si>
  <si>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</si>
  <si>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</si>
  <si>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</si>
  <si>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</si>
  <si>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</si>
  <si>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</si>
  <si>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</si>
  <si>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</si>
  <si>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</si>
  <si>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</si>
  <si>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</si>
  <si>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</si>
  <si>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</si>
  <si>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</si>
  <si>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</si>
  <si>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</si>
  <si>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</si>
  <si>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</si>
  <si>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</si>
  <si>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</si>
  <si>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</si>
  <si>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</si>
  <si>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</si>
  <si>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</si>
  <si>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</si>
  <si>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</si>
  <si>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</si>
  <si>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</si>
  <si>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</si>
  <si>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</si>
  <si>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</si>
  <si>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</si>
  <si>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</si>
  <si>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</si>
  <si>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</si>
  <si>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</si>
  <si>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</si>
  <si>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</si>
  <si>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</si>
  <si>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</si>
  <si>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</si>
  <si>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</si>
  <si>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</si>
  <si>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</si>
  <si>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</si>
  <si>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</si>
  <si>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</si>
  <si>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</si>
  <si>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</si>
  <si>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</si>
  <si>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</si>
  <si>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</si>
  <si>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</si>
  <si>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</si>
  <si>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</si>
  <si>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</si>
  <si>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</si>
  <si>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</si>
  <si>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</si>
  <si>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</si>
  <si>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</si>
  <si>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</si>
  <si>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</si>
  <si>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</si>
  <si>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</si>
  <si>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</si>
  <si>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</si>
  <si>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</si>
  <si>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</si>
  <si>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</si>
  <si>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</si>
  <si>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</si>
  <si>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</si>
  <si>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</si>
  <si>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</si>
  <si>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</si>
  <si>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</si>
  <si>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</si>
  <si>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</si>
  <si>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</si>
  <si>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</si>
  <si>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</si>
  <si>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</si>
  <si>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</si>
  <si>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</si>
  <si>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</si>
  <si>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</si>
  <si>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</si>
  <si>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</si>
  <si>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</si>
  <si>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</si>
  <si>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</si>
  <si>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</si>
  <si>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</si>
  <si>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</si>
  <si>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</si>
  <si>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</si>
  <si>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</si>
  <si>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</si>
  <si>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</si>
  <si>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</si>
  <si>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</si>
  <si>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</si>
  <si>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</si>
  <si>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</si>
  <si>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</si>
  <si>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</si>
  <si>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</si>
  <si>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</si>
  <si>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</si>
  <si>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</si>
  <si>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</si>
  <si>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</si>
  <si>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</si>
  <si>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</si>
  <si>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</si>
  <si>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</si>
  <si>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</si>
  <si>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</si>
  <si>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</si>
  <si>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</si>
  <si>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</si>
  <si>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</si>
  <si>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</si>
  <si>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</si>
  <si>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</si>
  <si>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</si>
  <si>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</si>
  <si>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</si>
  <si>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</si>
  <si>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</si>
  <si>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</si>
  <si>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</si>
  <si>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</si>
  <si>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</si>
  <si>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</si>
  <si>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</si>
  <si>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</si>
  <si>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</si>
  <si>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</si>
  <si>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</si>
  <si>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</si>
  <si>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</si>
  <si>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</si>
  <si>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</si>
  <si>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</si>
  <si>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</si>
  <si>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</si>
  <si>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</si>
  <si>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</si>
  <si>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</si>
  <si>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</si>
  <si>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</si>
  <si>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</si>
  <si>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</si>
  <si>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</si>
  <si>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</si>
  <si>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</si>
  <si>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</si>
  <si>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</si>
  <si>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</si>
  <si>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</si>
  <si>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</si>
  <si>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</si>
  <si>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</si>
  <si>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</si>
  <si>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</si>
  <si>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</si>
  <si>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</si>
  <si>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</si>
  <si>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</si>
  <si>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</si>
  <si>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</si>
  <si>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</si>
  <si>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</si>
  <si>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</si>
  <si>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</si>
  <si>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</si>
  <si>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</si>
  <si>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</si>
  <si>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</si>
  <si>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</si>
  <si>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</si>
  <si>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</si>
  <si>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</si>
  <si>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</si>
  <si>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</si>
  <si>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</si>
  <si>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</si>
  <si>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</si>
  <si>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</si>
  <si>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</si>
  <si>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</si>
  <si>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</si>
  <si>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</si>
  <si>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</si>
  <si>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</si>
  <si>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</si>
  <si>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</si>
  <si>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</si>
  <si>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</si>
  <si>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</si>
  <si>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</si>
  <si>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</si>
  <si>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</si>
  <si>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</si>
  <si>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</si>
  <si>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</si>
  <si>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</si>
  <si>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</si>
  <si>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</si>
  <si>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</si>
  <si>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</si>
  <si>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</si>
  <si>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</si>
  <si>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</si>
  <si>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</si>
  <si>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</si>
  <si>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</si>
  <si>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</si>
  <si>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</si>
  <si>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</si>
  <si>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</si>
  <si>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</si>
  <si>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</si>
  <si>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</si>
  <si>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</si>
  <si>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</si>
  <si>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</si>
  <si>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</si>
  <si>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</si>
  <si>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</si>
  <si>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</si>
  <si>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</si>
  <si>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</si>
  <si>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</si>
  <si>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</si>
  <si>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</si>
  <si>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</si>
  <si>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</si>
  <si>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</si>
  <si>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</si>
  <si>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</si>
  <si>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</si>
  <si>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</si>
  <si>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</si>
  <si>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</si>
  <si>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</si>
  <si>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</si>
  <si>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</si>
  <si>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</si>
  <si>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</si>
  <si>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</si>
  <si>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</si>
  <si>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</si>
  <si>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</si>
  <si>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</si>
  <si>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</si>
  <si>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</si>
  <si>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</si>
  <si>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</si>
  <si>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</si>
  <si>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</si>
  <si>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</si>
  <si>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</si>
  <si>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</si>
  <si>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</si>
  <si>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</si>
  <si>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</si>
  <si>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</si>
  <si>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</si>
  <si>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</si>
  <si>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</si>
  <si>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</si>
  <si>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</si>
  <si>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</si>
  <si>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</si>
  <si>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</si>
  <si>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</si>
  <si>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</si>
  <si>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</si>
  <si>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</si>
  <si>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</si>
  <si>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</si>
  <si>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</si>
  <si>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</si>
  <si>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</si>
  <si>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</si>
  <si>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</si>
  <si>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</si>
  <si>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</si>
  <si>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</si>
  <si>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</si>
  <si>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</si>
  <si>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</si>
  <si>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</si>
  <si>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</si>
  <si>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</si>
  <si>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</si>
  <si>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</si>
  <si>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</si>
  <si>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</si>
  <si>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</si>
  <si>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</si>
  <si>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</si>
  <si>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</si>
  <si>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</si>
  <si>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</si>
  <si>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</si>
  <si>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</si>
  <si>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</si>
  <si>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</si>
  <si>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</si>
  <si>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</si>
  <si>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</si>
  <si>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</si>
  <si>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</si>
  <si>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</si>
  <si>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</si>
  <si>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</si>
  <si>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</si>
  <si>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</si>
  <si>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</si>
  <si>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</si>
  <si>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</si>
  <si>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</si>
  <si>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</si>
  <si>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</si>
  <si>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</si>
  <si>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</si>
  <si>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</si>
  <si>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</si>
  <si>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</si>
  <si>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</si>
  <si>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</si>
  <si>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</si>
  <si>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</si>
  <si>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</si>
  <si>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</si>
  <si>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</si>
  <si>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</si>
  <si>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</si>
  <si>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</si>
  <si>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</si>
  <si>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</si>
  <si>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</si>
  <si>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</si>
  <si>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</si>
  <si>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</si>
  <si>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</si>
  <si>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</si>
  <si>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</si>
  <si>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</si>
  <si>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</si>
  <si>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</si>
  <si>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</si>
  <si>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</si>
  <si>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</si>
  <si>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</si>
  <si>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</si>
  <si>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</si>
  <si>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</si>
  <si>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</si>
  <si>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</si>
  <si>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</si>
  <si>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</si>
  <si>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</si>
  <si>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</si>
  <si>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</si>
  <si>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</si>
  <si>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</si>
  <si>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</si>
  <si>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</si>
  <si>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</si>
  <si>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</si>
  <si>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</si>
  <si>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</si>
  <si>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</si>
  <si>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</si>
  <si>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</si>
  <si>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</si>
  <si>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</si>
  <si>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</si>
  <si>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</si>
  <si>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</si>
  <si>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</si>
  <si>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</si>
  <si>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</si>
  <si>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</si>
  <si>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</si>
  <si>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</si>
  <si>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</si>
  <si>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</si>
  <si>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</si>
  <si>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</si>
  <si>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</si>
  <si>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</si>
  <si>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</si>
  <si>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</si>
  <si>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</si>
  <si>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</si>
  <si>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</si>
  <si>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</si>
  <si>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</si>
  <si>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</si>
  <si>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</si>
  <si>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</si>
  <si>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</si>
  <si>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</si>
  <si>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</si>
  <si>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</si>
  <si>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</si>
  <si>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</si>
  <si>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</si>
  <si>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</si>
  <si>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</si>
  <si>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</si>
  <si>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</si>
  <si>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</si>
  <si>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</si>
  <si>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</si>
  <si>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</si>
  <si>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</si>
  <si>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</si>
  <si>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</si>
  <si>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</si>
  <si>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</si>
  <si>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</si>
  <si>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</si>
  <si>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</si>
  <si>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</si>
  <si>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</si>
  <si>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</si>
  <si>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</si>
  <si>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</si>
  <si>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</si>
  <si>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</si>
  <si>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</si>
  <si>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</si>
  <si>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</si>
  <si>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</si>
  <si>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</si>
  <si>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</si>
  <si>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</si>
  <si>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</si>
  <si>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</si>
  <si>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</si>
  <si>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</si>
  <si>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</si>
  <si>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</si>
  <si>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</si>
  <si>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</si>
  <si>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</si>
  <si>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</si>
  <si>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</si>
  <si>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</si>
  <si>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</si>
  <si>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</si>
  <si>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</si>
  <si>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</si>
  <si>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</si>
  <si>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</si>
  <si>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</si>
  <si>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</si>
  <si>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</si>
  <si>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</si>
  <si>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</si>
  <si>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</si>
  <si>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</si>
  <si>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</si>
  <si>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</si>
  <si>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</si>
  <si>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</si>
  <si>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</si>
  <si>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</si>
  <si>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</si>
  <si>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</si>
  <si>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</si>
  <si>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</si>
  <si>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</si>
  <si>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</si>
  <si>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</si>
  <si>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</si>
  <si>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</si>
  <si>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</si>
  <si>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</si>
  <si>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</si>
  <si>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</si>
  <si>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</si>
  <si>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</si>
  <si>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</si>
  <si>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</si>
  <si>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</si>
  <si>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</si>
  <si>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</si>
  <si>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</si>
  <si>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</si>
  <si>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</si>
  <si>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</si>
  <si>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</si>
  <si>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</si>
  <si>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</si>
  <si>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</si>
  <si>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</si>
  <si>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</si>
  <si>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</si>
  <si>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</si>
  <si>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</si>
  <si>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</si>
  <si>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</si>
  <si>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</si>
  <si>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</si>
  <si>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</si>
  <si>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</si>
  <si>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</si>
  <si>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</si>
  <si>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</si>
  <si>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</si>
  <si>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</si>
  <si>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</si>
  <si>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</si>
  <si>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</si>
  <si>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</si>
  <si>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</si>
  <si>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</si>
  <si>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</si>
  <si>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</si>
  <si>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</si>
  <si>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</si>
  <si>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</si>
  <si>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</si>
  <si>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</si>
  <si>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</si>
  <si>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</si>
  <si>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</si>
  <si>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</si>
  <si>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</si>
  <si>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</si>
  <si>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</si>
  <si>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</si>
  <si>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</si>
  <si>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</si>
  <si>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</si>
  <si>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</si>
  <si>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</si>
  <si>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</si>
  <si>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</si>
  <si>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</si>
  <si>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</si>
  <si>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</si>
  <si>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</si>
  <si>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</si>
  <si>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</si>
  <si>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</si>
  <si>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</si>
  <si>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</si>
  <si>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</si>
  <si>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</si>
  <si>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</si>
  <si>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</si>
  <si>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</si>
  <si>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</si>
  <si>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</si>
  <si>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</si>
  <si>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</si>
  <si>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</si>
  <si>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</si>
  <si>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</si>
  <si>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</si>
  <si>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</si>
  <si>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</si>
  <si>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</si>
  <si>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</si>
  <si>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</si>
  <si>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</si>
  <si>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</si>
  <si>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</si>
  <si>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</si>
  <si>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</si>
  <si>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</si>
  <si>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</si>
  <si>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</si>
  <si>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</si>
  <si>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</si>
  <si>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</si>
  <si>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</si>
  <si>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</si>
  <si>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</si>
  <si>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</si>
  <si>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</si>
  <si>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</si>
  <si>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</si>
  <si>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</si>
  <si>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</si>
  <si>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</si>
  <si>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</si>
  <si>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</si>
  <si>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</si>
  <si>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</si>
  <si>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</si>
  <si>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</si>
  <si>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</si>
  <si>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</si>
  <si>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</si>
  <si>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</si>
  <si>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</si>
  <si>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</si>
  <si>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</si>
  <si>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</si>
  <si>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</si>
  <si>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</si>
  <si>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</si>
  <si>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</si>
  <si>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</si>
  <si>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</si>
  <si>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</si>
  <si>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</si>
  <si>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</si>
  <si>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</si>
  <si>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</si>
  <si>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</si>
  <si>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</si>
  <si>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</si>
  <si>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</si>
  <si>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</si>
  <si>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</si>
  <si>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</si>
  <si>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</si>
  <si>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</si>
  <si>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</si>
  <si>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</si>
  <si>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</si>
  <si>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</si>
  <si>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</si>
  <si>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</si>
  <si>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</si>
  <si>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</si>
  <si>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</si>
  <si>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</si>
  <si>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</si>
  <si>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</si>
  <si>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</si>
  <si>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</si>
  <si>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</si>
  <si>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</si>
  <si>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</si>
  <si>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</si>
  <si>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</si>
  <si>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</si>
  <si>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</si>
  <si>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</si>
  <si>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</si>
  <si>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</si>
  <si>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</si>
  <si>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</si>
  <si>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</si>
  <si>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</si>
  <si>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</si>
  <si>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</si>
  <si>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</si>
  <si>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</si>
  <si>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</si>
  <si>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</si>
  <si>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</si>
  <si>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</si>
  <si>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</si>
  <si>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</si>
  <si>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</si>
  <si>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</si>
  <si>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</si>
  <si>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</si>
  <si>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</si>
  <si>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</si>
  <si>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</si>
  <si>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</si>
  <si>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</si>
  <si>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</si>
  <si>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</si>
  <si>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</si>
  <si>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</si>
  <si>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</si>
  <si>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</si>
  <si>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</si>
  <si>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</si>
  <si>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</si>
  <si>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</si>
  <si>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</si>
  <si>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</si>
  <si>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</si>
  <si>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</si>
  <si>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</si>
  <si>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</si>
  <si>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</si>
  <si>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</si>
  <si>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</si>
  <si>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</si>
  <si>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</si>
  <si>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</si>
  <si>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</si>
  <si>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</si>
  <si>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</si>
  <si>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</si>
  <si>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</si>
  <si>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</si>
  <si>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</si>
  <si>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</si>
  <si>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</si>
  <si>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</si>
  <si>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</si>
  <si>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</si>
  <si>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</si>
  <si>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</si>
  <si>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</si>
  <si>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</si>
  <si>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</si>
  <si>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</si>
  <si>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</si>
  <si>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</si>
  <si>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</si>
  <si>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</si>
  <si>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</si>
  <si>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</si>
  <si>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</si>
  <si>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</si>
  <si>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</si>
  <si>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</si>
  <si>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</si>
  <si>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</si>
  <si>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</si>
  <si>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</si>
  <si>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</si>
  <si>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</si>
  <si>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</si>
  <si>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</si>
  <si>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</si>
  <si>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</si>
  <si>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</si>
  <si>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</si>
  <si>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</si>
  <si>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</si>
  <si>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</si>
  <si>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</si>
  <si>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</si>
  <si>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</si>
  <si>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</si>
  <si>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</si>
  <si>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</si>
  <si>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</si>
  <si>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</si>
  <si>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</si>
  <si>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</si>
  <si>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</si>
  <si>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</si>
  <si>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</si>
  <si>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</si>
  <si>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</si>
  <si>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</si>
  <si>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</si>
  <si>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</si>
  <si>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</si>
  <si>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</si>
  <si>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</si>
  <si>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</si>
  <si>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</si>
  <si>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</si>
  <si>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</si>
  <si>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</si>
  <si>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</si>
  <si>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</si>
  <si>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</si>
  <si>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</si>
  <si>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</si>
  <si>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</si>
  <si>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</si>
  <si>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</si>
  <si>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</si>
  <si>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</si>
  <si>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</si>
  <si>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</si>
  <si>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</si>
  <si>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</si>
  <si>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</si>
  <si>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</si>
  <si>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</si>
  <si>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</si>
  <si>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</si>
  <si>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</si>
  <si>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</si>
  <si>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</si>
  <si>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</si>
  <si>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</si>
  <si>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</si>
  <si>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</si>
  <si>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</si>
  <si>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</si>
  <si>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</si>
  <si>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</si>
  <si>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</si>
  <si>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</si>
  <si>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</si>
  <si>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</si>
  <si>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</si>
  <si>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</si>
  <si>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</si>
  <si>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</si>
  <si>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</si>
  <si>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</si>
  <si>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</si>
  <si>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</si>
  <si>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</si>
  <si>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</si>
  <si>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</si>
  <si>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</si>
  <si>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</si>
  <si>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</si>
  <si>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</si>
  <si>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</si>
  <si>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</si>
  <si>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</si>
  <si>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</si>
  <si>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</si>
  <si>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</si>
  <si>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</si>
  <si>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</si>
  <si>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</si>
  <si>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</si>
  <si>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</si>
  <si>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</si>
  <si>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</si>
  <si>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</si>
  <si>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</si>
  <si>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</si>
  <si>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</si>
  <si>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</si>
  <si>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</si>
  <si>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</si>
  <si>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</si>
  <si>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</si>
  <si>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</si>
  <si>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</si>
  <si>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</si>
  <si>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</si>
  <si>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</si>
  <si>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</si>
  <si>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</si>
  <si>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</si>
  <si>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</si>
  <si>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</si>
  <si>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</si>
  <si>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</si>
  <si>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</si>
  <si>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</si>
  <si>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</si>
  <si>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</si>
  <si>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</si>
  <si>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</si>
  <si>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</si>
  <si>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</si>
  <si>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</si>
  <si>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</si>
  <si>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</si>
  <si>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</si>
  <si>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</si>
  <si>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</si>
  <si>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</si>
  <si>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</si>
  <si>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</si>
  <si>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</si>
  <si>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</si>
  <si>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</si>
  <si>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</si>
  <si>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</si>
  <si>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</si>
  <si>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</si>
  <si>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</si>
  <si>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</si>
  <si>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</si>
  <si>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</si>
  <si>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</si>
  <si>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</si>
  <si>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</si>
  <si>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</si>
  <si>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</si>
  <si>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</si>
  <si>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</si>
  <si>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</si>
  <si>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</si>
  <si>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</si>
  <si>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</si>
  <si>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</si>
  <si>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</si>
  <si>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</si>
  <si>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</si>
  <si>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</si>
  <si>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</si>
  <si>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</si>
  <si>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</si>
  <si>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</si>
  <si>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</si>
  <si>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</si>
  <si>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</si>
  <si>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</si>
  <si>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</si>
  <si>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</si>
  <si>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</si>
  <si>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</si>
  <si>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</si>
  <si>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</si>
  <si>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</si>
  <si>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</si>
  <si>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</si>
  <si>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</si>
  <si>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</si>
  <si>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</si>
  <si>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</si>
  <si>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</si>
  <si>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</si>
  <si>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</si>
  <si>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</si>
  <si>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</si>
  <si>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</si>
  <si>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</si>
  <si>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</si>
  <si>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</si>
  <si>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</si>
  <si>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</si>
  <si>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</si>
  <si>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</si>
  <si>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</si>
  <si>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</si>
  <si>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</si>
  <si>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</si>
  <si>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</si>
  <si>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</si>
  <si>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</si>
  <si>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</si>
  <si>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</si>
  <si>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</si>
  <si>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</si>
  <si>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</si>
  <si>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</si>
  <si>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</si>
  <si>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</si>
  <si>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</si>
  <si>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</si>
  <si>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</si>
  <si>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</si>
  <si>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</si>
  <si>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</si>
  <si>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</si>
  <si>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</si>
  <si>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</si>
  <si>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</si>
  <si>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</si>
  <si>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</si>
  <si>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</si>
  <si>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</si>
  <si>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</si>
  <si>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</si>
  <si>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</si>
  <si>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</si>
  <si>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</si>
  <si>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</si>
  <si>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</si>
  <si>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</si>
  <si>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</si>
  <si>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</si>
  <si>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</si>
  <si>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</si>
  <si>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</si>
  <si>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</si>
  <si>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</si>
  <si>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</si>
  <si>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</si>
  <si>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</si>
  <si>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</si>
  <si>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</si>
  <si>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</si>
  <si>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</si>
  <si>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</si>
  <si>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</si>
  <si>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</si>
  <si>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</si>
  <si>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</si>
  <si>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</si>
  <si>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</si>
  <si>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</si>
  <si>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</si>
  <si>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</si>
  <si>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</si>
  <si>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</si>
  <si>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</si>
  <si>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</si>
  <si>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</si>
  <si>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</si>
  <si>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</si>
  <si>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</si>
  <si>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</si>
  <si>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</si>
  <si>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</si>
  <si>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</si>
  <si>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</si>
  <si>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</si>
  <si>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</si>
  <si>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</si>
  <si>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</si>
  <si>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</si>
  <si>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</si>
  <si>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</si>
  <si>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</si>
  <si>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</si>
  <si>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</si>
  <si>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</si>
  <si>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</si>
  <si>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</si>
  <si>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</si>
  <si>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</si>
  <si>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</si>
  <si>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</si>
  <si>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</si>
  <si>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</si>
  <si>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</si>
  <si>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</si>
  <si>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</si>
  <si>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</si>
  <si>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</si>
  <si>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</si>
  <si>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</si>
  <si>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</si>
  <si>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</si>
  <si>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</si>
  <si>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</si>
  <si>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</si>
  <si>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</si>
  <si>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</si>
  <si>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</si>
  <si>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</si>
  <si>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</si>
  <si>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</si>
  <si>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</si>
  <si>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</si>
  <si>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</si>
  <si>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</si>
  <si>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</si>
  <si>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</si>
  <si>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</si>
  <si>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</si>
  <si>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</si>
  <si>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</si>
  <si>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</si>
  <si>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</si>
  <si>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</si>
  <si>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</si>
  <si>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</si>
  <si>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</si>
  <si>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</si>
  <si>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</si>
  <si>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</si>
  <si>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</si>
  <si>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</si>
  <si>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</si>
  <si>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</si>
  <si>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</si>
  <si>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</si>
  <si>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</si>
  <si>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</si>
  <si>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</si>
  <si>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</si>
  <si>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</si>
  <si>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</si>
  <si>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</si>
  <si>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</si>
  <si>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</si>
  <si>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</si>
  <si>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</si>
  <si>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</si>
  <si>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</si>
  <si>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</si>
  <si>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</si>
  <si>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</si>
  <si>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</si>
  <si>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</si>
  <si>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</si>
  <si>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</si>
  <si>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</si>
  <si>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</si>
  <si>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</si>
  <si>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</si>
  <si>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</si>
  <si>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</si>
  <si>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</si>
  <si>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</si>
  <si>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</si>
  <si>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</si>
  <si>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</si>
  <si>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</si>
  <si>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</si>
  <si>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</si>
  <si>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</si>
  <si>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</si>
  <si>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</si>
  <si>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</si>
  <si>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</si>
  <si>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</si>
  <si>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</si>
  <si>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</si>
  <si>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</si>
  <si>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</si>
  <si>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</si>
  <si>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</si>
  <si>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</si>
  <si>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</si>
  <si>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</si>
  <si>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</si>
  <si>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</si>
  <si>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</si>
  <si>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</si>
  <si>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</si>
  <si>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</si>
  <si>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</si>
  <si>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</si>
  <si>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</si>
  <si>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</si>
  <si>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</si>
  <si>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</si>
  <si>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</si>
  <si>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</si>
  <si>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</si>
  <si>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</si>
  <si>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</si>
  <si>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</si>
  <si>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</si>
  <si>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</si>
  <si>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</si>
  <si>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</si>
  <si>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</si>
  <si>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</si>
  <si>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</si>
  <si>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</si>
  <si>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</si>
  <si>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</si>
  <si>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</si>
  <si>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</si>
  <si>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</si>
  <si>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</si>
  <si>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</si>
  <si>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</si>
  <si>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</si>
  <si>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</si>
  <si>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</si>
  <si>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</si>
  <si>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</si>
  <si>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</si>
  <si>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</si>
  <si>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</si>
  <si>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</si>
  <si>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</si>
  <si>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</si>
  <si>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</si>
  <si>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</si>
  <si>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</si>
  <si>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</si>
  <si>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</si>
  <si>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</si>
  <si>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</si>
  <si>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</si>
  <si>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</si>
  <si>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</si>
  <si>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</si>
  <si>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</si>
  <si>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</si>
  <si>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</si>
  <si>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</si>
  <si>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</si>
  <si>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</si>
  <si>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</si>
  <si>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</si>
  <si>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</si>
  <si>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</si>
  <si>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</si>
  <si>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</si>
  <si>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</si>
  <si>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</si>
  <si>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</si>
  <si>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</si>
  <si>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</si>
  <si>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</si>
  <si>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</si>
  <si>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</si>
  <si>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</si>
  <si>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</si>
  <si>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</si>
  <si>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</si>
  <si>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</si>
  <si>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</si>
  <si>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</si>
  <si>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自然人</t>
  </si>
  <si>
    <r>
      <rPr>
        <sz val="10"/>
        <color theme="9" tint="-0.249977111117893"/>
        <rFont val="宋体"/>
        <family val="3"/>
        <charset val="134"/>
      </rPr>
      <t>密云县阳光街</t>
    </r>
    <r>
      <rPr>
        <sz val="10"/>
        <color theme="9" tint="-0.249977111117893"/>
        <rFont val="Arial"/>
        <family val="2"/>
      </rPr>
      <t>783</t>
    </r>
    <r>
      <rPr>
        <sz val="10"/>
        <color theme="9" tint="-0.249977111117893"/>
        <rFont val="宋体"/>
        <family val="3"/>
        <charset val="134"/>
      </rPr>
      <t>幢</t>
    </r>
    <phoneticPr fontId="6" type="noConversion"/>
  </si>
  <si>
    <t>核定资产</t>
  </si>
  <si>
    <t>李宝山</t>
    <phoneticPr fontId="6" type="noConversion"/>
  </si>
  <si>
    <t>华夏银行</t>
    <phoneticPr fontId="6" type="noConversion"/>
  </si>
  <si>
    <t>是</t>
  </si>
  <si>
    <t>否</t>
  </si>
  <si>
    <t>Ⅷ-密1</t>
  </si>
  <si>
    <t>地上</t>
  </si>
  <si>
    <t>现房</t>
  </si>
  <si>
    <t>商业项目</t>
  </si>
  <si>
    <t>成新度</t>
  </si>
  <si>
    <t>果园街道</t>
    <phoneticPr fontId="3" type="noConversion"/>
  </si>
  <si>
    <t>未包含在土地购买价格中</t>
  </si>
  <si>
    <t>已包含在土地取得成本中</t>
  </si>
  <si>
    <t>全部缴纳</t>
  </si>
  <si>
    <t>押一</t>
  </si>
  <si>
    <t>非生产用房</t>
  </si>
  <si>
    <t>建成年代</t>
    <phoneticPr fontId="3" type="noConversion"/>
  </si>
  <si>
    <t>直线</t>
    <phoneticPr fontId="3" type="noConversion"/>
  </si>
  <si>
    <t>收益法</t>
  </si>
  <si>
    <t>市调</t>
    <phoneticPr fontId="134" type="noConversion"/>
  </si>
  <si>
    <t>年租金</t>
    <phoneticPr fontId="134" type="noConversion"/>
  </si>
  <si>
    <t>日租金</t>
    <phoneticPr fontId="134" type="noConversion"/>
  </si>
  <si>
    <t>不含税</t>
    <phoneticPr fontId="134" type="noConversion"/>
  </si>
  <si>
    <t>观察</t>
    <phoneticPr fontId="3" type="noConversion"/>
  </si>
  <si>
    <t>综合</t>
    <phoneticPr fontId="3" type="noConversion"/>
  </si>
  <si>
    <t>不临65条商业街</t>
  </si>
  <si>
    <t>中心城区以外</t>
  </si>
  <si>
    <t>与级别开发程度不一致</t>
  </si>
  <si>
    <t>通路</t>
  </si>
  <si>
    <t>通电</t>
  </si>
  <si>
    <t>通讯</t>
  </si>
  <si>
    <t>通上水</t>
  </si>
  <si>
    <t>通下水</t>
  </si>
  <si>
    <t>通热</t>
  </si>
  <si>
    <t>平整</t>
  </si>
  <si>
    <t>级别平均容积率</t>
    <phoneticPr fontId="7" type="noConversion"/>
  </si>
  <si>
    <t>自定义容积率</t>
  </si>
  <si>
    <t>较好</t>
  </si>
  <si>
    <t>一般</t>
  </si>
  <si>
    <t>差</t>
  </si>
  <si>
    <t>成本法</t>
  </si>
  <si>
    <t>砖混</t>
  </si>
  <si>
    <t>楼面单价</t>
  </si>
  <si>
    <t>自定义</t>
  </si>
  <si>
    <t>情况4</t>
  </si>
  <si>
    <t>正常</t>
  </si>
  <si>
    <t>转让取得</t>
  </si>
  <si>
    <t>个人其他（无凭证）</t>
  </si>
  <si>
    <r>
      <t>7</t>
    </r>
    <r>
      <rPr>
        <sz val="11"/>
        <color theme="1"/>
        <rFont val="宋体"/>
        <family val="3"/>
        <charset val="134"/>
        <scheme val="minor"/>
      </rPr>
      <t>83-15</t>
    </r>
    <phoneticPr fontId="134" type="noConversion"/>
  </si>
  <si>
    <t>房号</t>
    <phoneticPr fontId="134" type="noConversion"/>
  </si>
  <si>
    <t>承租人</t>
    <phoneticPr fontId="134" type="noConversion"/>
  </si>
  <si>
    <t>张建松</t>
    <phoneticPr fontId="134" type="noConversion"/>
  </si>
  <si>
    <t>建筑面积</t>
    <phoneticPr fontId="134" type="noConversion"/>
  </si>
  <si>
    <t>年租金</t>
    <phoneticPr fontId="134" type="noConversion"/>
  </si>
  <si>
    <r>
      <t>7</t>
    </r>
    <r>
      <rPr>
        <sz val="11"/>
        <color theme="1"/>
        <rFont val="宋体"/>
        <family val="3"/>
        <charset val="134"/>
        <scheme val="minor"/>
      </rPr>
      <t>83-16~17</t>
    </r>
    <phoneticPr fontId="134" type="noConversion"/>
  </si>
  <si>
    <t>刘宁</t>
    <phoneticPr fontId="134" type="noConversion"/>
  </si>
  <si>
    <t>783-18</t>
    <phoneticPr fontId="134" type="noConversion"/>
  </si>
  <si>
    <t>刘兴浩</t>
    <phoneticPr fontId="134" type="noConversion"/>
  </si>
  <si>
    <t>783-19</t>
    <phoneticPr fontId="134" type="noConversion"/>
  </si>
  <si>
    <t>783-20</t>
    <phoneticPr fontId="134" type="noConversion"/>
  </si>
  <si>
    <r>
      <t>1年</t>
    </r>
    <r>
      <rPr>
        <sz val="11"/>
        <color theme="1"/>
        <rFont val="宋体"/>
        <family val="3"/>
        <charset val="134"/>
        <scheme val="minor"/>
      </rPr>
      <t>2个月</t>
    </r>
    <phoneticPr fontId="134" type="noConversion"/>
  </si>
  <si>
    <t>李学亮</t>
    <phoneticPr fontId="134" type="noConversion"/>
  </si>
  <si>
    <t>王显恣</t>
    <phoneticPr fontId="134" type="noConversion"/>
  </si>
  <si>
    <t>783-21</t>
    <phoneticPr fontId="134" type="noConversion"/>
  </si>
  <si>
    <t>梁明月</t>
    <phoneticPr fontId="134" type="noConversion"/>
  </si>
  <si>
    <r>
      <t>免租期7</t>
    </r>
    <r>
      <rPr>
        <sz val="11"/>
        <color theme="1"/>
        <rFont val="宋体"/>
        <family val="3"/>
        <charset val="134"/>
        <scheme val="minor"/>
      </rPr>
      <t>0天</t>
    </r>
    <phoneticPr fontId="134" type="noConversion"/>
  </si>
  <si>
    <t>日租金</t>
    <phoneticPr fontId="134" type="noConversion"/>
  </si>
  <si>
    <t>房本面积</t>
    <phoneticPr fontId="134" type="noConversion"/>
  </si>
  <si>
    <t>日总租金</t>
    <phoneticPr fontId="134" type="noConversion"/>
  </si>
  <si>
    <t>日平均租金</t>
    <phoneticPr fontId="134" type="noConversion"/>
  </si>
  <si>
    <t>设定</t>
    <phoneticPr fontId="3" type="noConversion"/>
  </si>
  <si>
    <t>楼层修正</t>
  </si>
  <si>
    <t>2016年5月1日前购买</t>
  </si>
  <si>
    <t>不临外街</t>
    <phoneticPr fontId="134" type="noConversion"/>
  </si>
  <si>
    <t>位于阳光建材街内，临内部路</t>
    <phoneticPr fontId="134" type="noConversion"/>
  </si>
  <si>
    <t>装修状况</t>
    <phoneticPr fontId="3" type="noConversion"/>
  </si>
  <si>
    <t>精装修</t>
    <phoneticPr fontId="24" type="noConversion"/>
  </si>
  <si>
    <t>普通装修</t>
    <phoneticPr fontId="24" type="noConversion"/>
  </si>
  <si>
    <t>简单装修</t>
  </si>
  <si>
    <t>简单装修</t>
    <phoneticPr fontId="24" type="noConversion"/>
  </si>
  <si>
    <t>毛坯</t>
    <phoneticPr fontId="24" type="noConversion"/>
  </si>
  <si>
    <t>有查封登记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</si>
</sst>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0" fontId="129" fillId="5" borderId="1"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83" fontId="113"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0" fillId="0" borderId="0" xfId="0" applyNumberFormat="1">
      <alignment vertical="center"/>
    </xf>
    <xf numFmtId="14" fontId="95" fillId="0" borderId="0" xfId="0" applyNumberFormat="1" applyFont="1">
      <alignment vertical="center"/>
    </xf>
    <xf numFmtId="0" fontId="273" fillId="0" borderId="0" xfId="0" applyFont="1">
      <alignment vertical="center"/>
    </xf>
    <xf numFmtId="0" fontId="129" fillId="12" borderId="0" xfId="0" applyFont="1" applyFill="1" applyProtection="1">
      <alignment vertical="center"/>
      <protection locked="0"/>
    </xf>
    <xf numFmtId="179" fontId="51" fillId="0" borderId="23" xfId="0" applyNumberFormat="1"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18</xdr:row>
      <xdr:rowOff>45720</xdr:rowOff>
    </xdr:from>
    <xdr:to>
      <xdr:col>10</xdr:col>
      <xdr:colOff>812383</xdr:colOff>
      <xdr:row>43</xdr:row>
      <xdr:rowOff>178372</xdr:rowOff>
    </xdr:to>
    <xdr:pic>
      <xdr:nvPicPr>
        <xdr:cNvPr id="2" name="图片 1">
          <a:extLst>
            <a:ext uri="{FF2B5EF4-FFF2-40B4-BE49-F238E27FC236}">
              <a16:creationId xmlns:a16="http://schemas.microsoft.com/office/drawing/2014/main" id="{BFF6068C-CA8D-4508-8E2E-D98746C9C9E8}"/>
            </a:ext>
          </a:extLst>
        </xdr:cNvPr>
        <xdr:cNvPicPr>
          <a:picLocks noChangeAspect="1"/>
        </xdr:cNvPicPr>
      </xdr:nvPicPr>
      <xdr:blipFill>
        <a:blip xmlns:r="http://schemas.openxmlformats.org/officeDocument/2006/relationships" r:embed="rId1"/>
        <a:stretch>
          <a:fillRect/>
        </a:stretch>
      </xdr:blipFill>
      <xdr:spPr>
        <a:xfrm>
          <a:off x="457200" y="3337560"/>
          <a:ext cx="6832183" cy="47046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83820</xdr:colOff>
      <xdr:row>0</xdr:row>
      <xdr:rowOff>99060</xdr:rowOff>
    </xdr:from>
    <xdr:to>
      <xdr:col>32</xdr:col>
      <xdr:colOff>219437</xdr:colOff>
      <xdr:row>32</xdr:row>
      <xdr:rowOff>46132</xdr:rowOff>
    </xdr:to>
    <xdr:pic>
      <xdr:nvPicPr>
        <xdr:cNvPr id="3" name="图片 2">
          <a:extLst>
            <a:ext uri="{FF2B5EF4-FFF2-40B4-BE49-F238E27FC236}">
              <a16:creationId xmlns:a16="http://schemas.microsoft.com/office/drawing/2014/main" id="{7E8E4064-B5F2-46FE-9FB5-96FD698B2369}"/>
            </a:ext>
          </a:extLst>
        </xdr:cNvPr>
        <xdr:cNvPicPr>
          <a:picLocks noChangeAspect="1"/>
        </xdr:cNvPicPr>
      </xdr:nvPicPr>
      <xdr:blipFill>
        <a:blip xmlns:r="http://schemas.openxmlformats.org/officeDocument/2006/relationships" r:embed="rId1"/>
        <a:stretch>
          <a:fillRect/>
        </a:stretch>
      </xdr:blipFill>
      <xdr:spPr>
        <a:xfrm>
          <a:off x="9837420" y="99060"/>
          <a:ext cx="9889217" cy="5799232"/>
        </a:xfrm>
        <a:prstGeom prst="rect">
          <a:avLst/>
        </a:prstGeom>
      </xdr:spPr>
    </xdr:pic>
    <xdr:clientData/>
  </xdr:twoCellAnchor>
  <xdr:twoCellAnchor editAs="oneCell">
    <xdr:from>
      <xdr:col>0</xdr:col>
      <xdr:colOff>0</xdr:colOff>
      <xdr:row>3</xdr:row>
      <xdr:rowOff>114300</xdr:rowOff>
    </xdr:from>
    <xdr:to>
      <xdr:col>8</xdr:col>
      <xdr:colOff>262499</xdr:colOff>
      <xdr:row>19</xdr:row>
      <xdr:rowOff>5111</xdr:rowOff>
    </xdr:to>
    <xdr:pic>
      <xdr:nvPicPr>
        <xdr:cNvPr id="4" name="图片 3">
          <a:extLst>
            <a:ext uri="{FF2B5EF4-FFF2-40B4-BE49-F238E27FC236}">
              <a16:creationId xmlns:a16="http://schemas.microsoft.com/office/drawing/2014/main" id="{855C0042-6947-21A8-C460-6EA4E337606C}"/>
            </a:ext>
          </a:extLst>
        </xdr:cNvPr>
        <xdr:cNvPicPr>
          <a:picLocks noChangeAspect="1"/>
        </xdr:cNvPicPr>
      </xdr:nvPicPr>
      <xdr:blipFill>
        <a:blip xmlns:r="http://schemas.openxmlformats.org/officeDocument/2006/relationships" r:embed="rId2"/>
        <a:stretch>
          <a:fillRect/>
        </a:stretch>
      </xdr:blipFill>
      <xdr:spPr>
        <a:xfrm>
          <a:off x="0" y="662940"/>
          <a:ext cx="5139299" cy="28168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北京市密云县阳光街783幢预评估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受贵公司委托，我公司对北京市密云县阳光街783幢进行了预评估。</v>
      </c>
    </row>
    <row r="7" spans="1:2">
      <c r="A7" s="1119" t="s">
        <v>566</v>
      </c>
      <c r="B7" s="1120" t="str">
        <f>'预评函-1'!A7</f>
        <v>估价对象为北京市密云县阳光街783幢房地产，为李宝山所有。根据《国有土地使用证》[]，估价对象（分摊）出让国有建设用地使用权面积为0平方米，建筑面积为170.67平方米。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县阳光街783幢房地产,属李宝山开发建设的商业项目，该项目尚在开发建设中。根据《国有土地使用证》[]，估价对象（分摊）出让国有建设用地使用权面积为0平方米，规划建筑面积为170.67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2025年5月29日（评估专业人员实地查勘之日）</v>
      </c>
    </row>
    <row r="13" spans="1:2">
      <c r="A13" s="1119" t="s">
        <v>529</v>
      </c>
      <c r="B13" s="1120" t="str">
        <f>'预评函-1'!A18</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153</v>
      </c>
    </row>
    <row r="21" spans="1:2">
      <c r="A21" s="1119" t="s">
        <v>537</v>
      </c>
      <c r="B21" s="1120">
        <f ca="1">'预评函-2'!D7</f>
        <v>8977</v>
      </c>
    </row>
    <row r="22" spans="1:2">
      <c r="A22" s="1119" t="s">
        <v>538</v>
      </c>
      <c r="B22" s="1120" t="str">
        <f ca="1">'预评函-2'!D6</f>
        <v>壹佰伍拾叁万元整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153</v>
      </c>
    </row>
    <row r="31" spans="1:2">
      <c r="A31" s="1119" t="s">
        <v>576</v>
      </c>
      <c r="B31" s="1120">
        <f ca="1">'预评函-2'!D15</f>
        <v>8977</v>
      </c>
    </row>
    <row r="32" spans="1:2">
      <c r="A32" s="1119" t="s">
        <v>543</v>
      </c>
      <c r="B32" s="1120" t="str">
        <f ca="1">'预评函-2'!D14</f>
        <v>壹佰伍拾叁万元整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北京市密云县阳光街783幢房地产</v>
      </c>
    </row>
    <row r="42" spans="1:2" ht="31.2">
      <c r="A42" s="1119" t="s">
        <v>590</v>
      </c>
      <c r="B42" s="1120" t="str">
        <f>'预评函-3'!B2</f>
        <v>建筑面积</v>
      </c>
    </row>
    <row r="43" spans="1:2">
      <c r="A43" s="1119" t="s">
        <v>591</v>
      </c>
      <c r="B43" s="1120">
        <f>'预评函-3'!B4</f>
        <v>170.67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2575</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2576</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阳光街783幢房地产作为抵押担保物，向华夏银行办理贷款手续。华夏银行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0" t="s">
        <v>2591</v>
      </c>
      <c r="J1" s="2780"/>
      <c r="K1" s="2780"/>
      <c r="L1" s="2780"/>
      <c r="M1" s="2780"/>
      <c r="N1" s="2965"/>
      <c r="O1" s="2965"/>
      <c r="P1" s="2965"/>
      <c r="Q1" s="2965"/>
      <c r="R1" s="2965"/>
    </row>
    <row r="2" spans="1:18">
      <c r="A2" s="2757"/>
      <c r="B2" s="2758"/>
      <c r="C2" s="2758"/>
      <c r="D2" s="2758"/>
      <c r="E2" s="2758"/>
      <c r="F2" s="2759"/>
      <c r="I2" s="3208" t="s">
        <v>2578</v>
      </c>
      <c r="J2" s="3208"/>
      <c r="K2" s="3208"/>
      <c r="L2" s="3208"/>
      <c r="M2" s="3208"/>
      <c r="N2" s="3208"/>
      <c r="O2" s="3208"/>
      <c r="P2" s="3208"/>
      <c r="Q2" s="3208"/>
      <c r="R2" s="3208"/>
    </row>
    <row r="3" spans="1:18">
      <c r="A3" s="2760" t="s">
        <v>2499</v>
      </c>
      <c r="B3" s="2761">
        <f>项目基本情况!D3</f>
        <v>45806</v>
      </c>
      <c r="C3" s="2763"/>
      <c r="D3" s="2763"/>
      <c r="E3" s="2763"/>
      <c r="F3" s="2759"/>
      <c r="I3" s="2775"/>
      <c r="J3" s="2775" t="s">
        <v>2582</v>
      </c>
      <c r="K3" s="2775" t="s">
        <v>2583</v>
      </c>
      <c r="L3" s="2775" t="s">
        <v>2584</v>
      </c>
      <c r="M3" s="2775" t="s">
        <v>2585</v>
      </c>
      <c r="N3" s="3131" t="s">
        <v>2586</v>
      </c>
      <c r="O3" s="3131" t="s">
        <v>2587</v>
      </c>
      <c r="P3" s="3131" t="s">
        <v>2588</v>
      </c>
      <c r="Q3" s="3131" t="s">
        <v>2589</v>
      </c>
      <c r="R3" s="3131"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1.55</v>
      </c>
      <c r="D5" s="2765">
        <f>IF(ISERROR(ROUND(POWER(1+E5,A5-C5)*(POWER(1+E5,C5)-1)/(POWER(1+E5,A5)-1),3)),0,ROUND(POWER(1+E5,A5-C5)*(POWER(1+E5,C5)-1)/(POWER(1+E5,A5)-1),4))</f>
        <v>7.4499999999999997E-2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11.56</v>
      </c>
      <c r="D6" s="2765">
        <f>IF(ISERROR(ROUND(POWER(1+E6,A6-C6)*(POWER(1+E6,C6)-1)/(POWER(1+E6,A6)-1),3)),0,ROUND(POWER(1+E6,A6-C6)*(POWER(1+E6,C6)-1)/(POWER(1+E6,A6)-1),4))</f>
        <v>0.42420000000000002</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31.58</v>
      </c>
      <c r="D7" s="2765">
        <f>IF(ISERROR(ROUND(POWER(1+E7,A7-C7)*(POWER(1+E7,C7)-1)/(POWER(1+E7,A7)-1),3)),0,ROUND(POWER(1+E7,A7-C7)*(POWER(1+E7,C7)-1)/(POWER(1+E7,A7)-1),4))</f>
        <v>0.75890000000000002</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5" thickBot="1">
      <c r="A18" s="2770" t="s">
        <v>2514</v>
      </c>
      <c r="B18" s="2771">
        <f>ROUND(B17*F11/F12,2)</f>
        <v>5541.87</v>
      </c>
      <c r="C18" s="2771">
        <f>ROUND(F11/F12,4)</f>
        <v>1.1521999999999999</v>
      </c>
      <c r="D18" s="2772"/>
      <c r="E18" s="2772"/>
      <c r="F18" s="2773"/>
    </row>
    <row r="19" spans="1:14" ht="15" thickBot="1"/>
    <row r="20" spans="1:14" s="2806" customFormat="1" ht="1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48"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48">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48">
        <v>8</v>
      </c>
    </row>
    <row r="26" spans="1:14">
      <c r="A26" s="2779"/>
      <c r="B26" s="2780"/>
      <c r="C26" s="2780"/>
      <c r="D26" s="2780"/>
      <c r="E26" s="2780"/>
      <c r="F26" s="2780"/>
      <c r="G26" s="2781"/>
      <c r="I26" s="2797">
        <v>30</v>
      </c>
      <c r="J26" s="2797">
        <v>90.5</v>
      </c>
      <c r="K26" s="2797">
        <f t="shared" si="2"/>
        <v>4.2000000000000028</v>
      </c>
      <c r="L26" s="2797" t="s">
        <v>2569</v>
      </c>
      <c r="N26" s="3148">
        <v>5</v>
      </c>
    </row>
    <row r="27" spans="1:14">
      <c r="A27" s="2779" t="s">
        <v>2528</v>
      </c>
      <c r="B27" s="2780"/>
      <c r="C27" s="2780"/>
      <c r="D27" s="2780"/>
      <c r="E27" s="2780"/>
      <c r="F27" s="2780"/>
      <c r="G27" s="2781"/>
      <c r="I27" s="2797">
        <v>35</v>
      </c>
      <c r="J27" s="2797">
        <v>93.8</v>
      </c>
      <c r="K27" s="2797">
        <f t="shared" si="2"/>
        <v>3.2999999999999972</v>
      </c>
      <c r="L27" s="2797" t="s">
        <v>2570</v>
      </c>
      <c r="N27" s="3148">
        <v>3</v>
      </c>
    </row>
    <row r="28" spans="1:14">
      <c r="A28" s="2779" t="s">
        <v>2529</v>
      </c>
      <c r="B28" s="2780"/>
      <c r="C28" s="2780"/>
      <c r="D28" s="2780"/>
      <c r="E28" s="2780"/>
      <c r="F28" s="2780"/>
      <c r="G28" s="2781"/>
      <c r="I28" s="2797">
        <v>40</v>
      </c>
      <c r="J28" s="2797">
        <v>96.4</v>
      </c>
      <c r="K28" s="2797">
        <f t="shared" si="2"/>
        <v>2.6000000000000085</v>
      </c>
      <c r="L28" s="2797" t="s">
        <v>2571</v>
      </c>
      <c r="N28" s="3148">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48" t="s">
        <v>2566</v>
      </c>
    </row>
    <row r="37" spans="1:14">
      <c r="A37" s="2779" t="s">
        <v>2538</v>
      </c>
      <c r="B37" s="2780"/>
      <c r="C37" s="2780"/>
      <c r="D37" s="2780"/>
      <c r="E37" s="2780"/>
      <c r="F37" s="2780"/>
      <c r="G37" s="2781"/>
      <c r="I37" s="2797">
        <v>20</v>
      </c>
      <c r="J37" s="2797">
        <v>83.6</v>
      </c>
      <c r="K37" s="2797">
        <f t="shared" si="3"/>
        <v>7.2999999999999972</v>
      </c>
      <c r="L37" s="2797" t="s">
        <v>2564</v>
      </c>
      <c r="N37" s="3148">
        <v>10</v>
      </c>
    </row>
    <row r="38" spans="1:14">
      <c r="A38" s="2779" t="s">
        <v>2539</v>
      </c>
      <c r="B38" s="2780"/>
      <c r="C38" s="2780"/>
      <c r="D38" s="2780"/>
      <c r="E38" s="2780"/>
      <c r="F38" s="2780"/>
      <c r="G38" s="2781"/>
      <c r="I38" s="2797">
        <v>25</v>
      </c>
      <c r="J38" s="2797">
        <v>89.3</v>
      </c>
      <c r="K38" s="2797">
        <f t="shared" si="3"/>
        <v>5.7000000000000028</v>
      </c>
      <c r="L38" s="2797" t="s">
        <v>2568</v>
      </c>
      <c r="N38" s="3148">
        <v>8</v>
      </c>
    </row>
    <row r="39" spans="1:14">
      <c r="A39" s="2779"/>
      <c r="B39" s="2780"/>
      <c r="C39" s="2780"/>
      <c r="D39" s="2780"/>
      <c r="E39" s="2780"/>
      <c r="F39" s="2780"/>
      <c r="G39" s="2781"/>
      <c r="I39" s="2797">
        <v>30</v>
      </c>
      <c r="J39" s="2797">
        <v>93.8</v>
      </c>
      <c r="K39" s="2797">
        <f t="shared" si="3"/>
        <v>4.5</v>
      </c>
      <c r="L39" s="2797" t="s">
        <v>2569</v>
      </c>
      <c r="N39" s="3148">
        <v>6</v>
      </c>
    </row>
    <row r="40" spans="1:14">
      <c r="A40" s="2782" t="s">
        <v>2540</v>
      </c>
      <c r="B40" s="2783"/>
      <c r="C40" s="2783"/>
      <c r="D40" s="2783"/>
      <c r="E40" s="2783"/>
      <c r="F40" s="2783"/>
      <c r="G40" s="2784"/>
      <c r="I40" s="2797">
        <v>35</v>
      </c>
      <c r="J40" s="2797">
        <v>97.2</v>
      </c>
      <c r="K40" s="2797">
        <f t="shared" si="3"/>
        <v>3.4000000000000057</v>
      </c>
      <c r="L40" s="2797" t="s">
        <v>2570</v>
      </c>
      <c r="N40" s="3148">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0" t="s">
        <v>3384</v>
      </c>
      <c r="B50" s="3140" t="s">
        <v>3385</v>
      </c>
      <c r="C50" s="3140" t="s">
        <v>3386</v>
      </c>
      <c r="D50" s="3140" t="s">
        <v>3387</v>
      </c>
    </row>
    <row r="51" spans="1:4">
      <c r="A51" s="3140" t="s">
        <v>3388</v>
      </c>
      <c r="B51" s="2762">
        <f>B52+B53</f>
        <v>15000</v>
      </c>
      <c r="C51" s="3141">
        <f>D51/B51</f>
        <v>2666.6666666666665</v>
      </c>
      <c r="D51" s="2762">
        <f>D52+D53</f>
        <v>40000000</v>
      </c>
    </row>
    <row r="52" spans="1:4">
      <c r="A52" s="3142" t="s">
        <v>3389</v>
      </c>
      <c r="B52" s="3143">
        <v>10000</v>
      </c>
      <c r="C52" s="3143">
        <v>1500</v>
      </c>
      <c r="D52" s="3144">
        <f>C52*B52</f>
        <v>15000000</v>
      </c>
    </row>
    <row r="53" spans="1:4">
      <c r="A53" s="3142" t="s">
        <v>3390</v>
      </c>
      <c r="B53" s="3143">
        <v>5000</v>
      </c>
      <c r="C53" s="3143">
        <v>5000</v>
      </c>
      <c r="D53" s="3144">
        <f>C53*B53</f>
        <v>25000000</v>
      </c>
    </row>
    <row r="54" spans="1:4">
      <c r="A54" s="3140" t="s">
        <v>3391</v>
      </c>
      <c r="B54" s="2762">
        <f>B51</f>
        <v>15000</v>
      </c>
      <c r="C54" s="2768">
        <v>700</v>
      </c>
      <c r="D54" s="2762">
        <f t="shared" ref="D54:D55" si="5">C54*B54</f>
        <v>10500000</v>
      </c>
    </row>
    <row r="55" spans="1:4">
      <c r="A55" s="3140" t="s">
        <v>3392</v>
      </c>
      <c r="B55" s="2762">
        <f>B51</f>
        <v>15000</v>
      </c>
      <c r="C55" s="2768">
        <v>1500</v>
      </c>
      <c r="D55" s="2762">
        <f t="shared" si="5"/>
        <v>22500000</v>
      </c>
    </row>
    <row r="56" spans="1:4">
      <c r="A56" s="3140" t="s">
        <v>3393</v>
      </c>
      <c r="B56" s="2762">
        <f>B51</f>
        <v>15000</v>
      </c>
      <c r="C56" s="3145">
        <f>C51+C54+C55</f>
        <v>4866.6666666666661</v>
      </c>
      <c r="D56" s="2762">
        <f>D51+D54+D55</f>
        <v>73000000</v>
      </c>
    </row>
    <row r="58" spans="1:4">
      <c r="A58" s="3140" t="s">
        <v>3394</v>
      </c>
      <c r="B58" s="3146">
        <v>0.05</v>
      </c>
      <c r="C58" s="2762">
        <f>C56*(1+B58)</f>
        <v>5110</v>
      </c>
      <c r="D58" s="2762">
        <f>D56*B58</f>
        <v>3650000</v>
      </c>
    </row>
    <row r="60" spans="1:4">
      <c r="A60" s="3140" t="s">
        <v>3395</v>
      </c>
      <c r="B60" s="2768">
        <v>3500</v>
      </c>
      <c r="C60" s="2768">
        <f>C53</f>
        <v>5000</v>
      </c>
      <c r="D60" s="2762">
        <f>C60*B60</f>
        <v>17500000</v>
      </c>
    </row>
    <row r="62" spans="1:4">
      <c r="A62" s="3140" t="s">
        <v>3396</v>
      </c>
      <c r="B62" s="2768">
        <f>B51</f>
        <v>15000</v>
      </c>
      <c r="C62" s="3147">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16" t="str">
        <f>IF(B10="北京市","北京市",C10)&amp;F10&amp;IF(结果表!G1="在建","出让国有建设用地使用权及在建建筑物",IF(结果表!G1="土地","出让国有建设用地使用权",))&amp;B9&amp;"预评估"</f>
        <v>北京市密云县阳光街783幢预评估</v>
      </c>
      <c r="C1" s="3217"/>
      <c r="D1" s="3217"/>
      <c r="E1" s="3217"/>
      <c r="F1" s="3217"/>
      <c r="G1" s="3217"/>
      <c r="H1" s="3217"/>
      <c r="I1" s="3218"/>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北京市密云县阳光街783幢</v>
      </c>
      <c r="T1" s="1618"/>
      <c r="U1" s="1618"/>
      <c r="V1" s="1618"/>
      <c r="W1" s="1618"/>
      <c r="X1" s="1618"/>
      <c r="Y1" s="1618"/>
      <c r="Z1" s="1618"/>
      <c r="AA1" s="1618"/>
      <c r="AB1" s="1618"/>
    </row>
    <row r="2" spans="1:30">
      <c r="A2" s="2182" t="s">
        <v>2167</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北京市密云县阳光街783幢房地产</v>
      </c>
      <c r="T2" s="1618"/>
      <c r="U2" s="1618"/>
      <c r="V2" s="1618"/>
      <c r="W2" s="1618"/>
      <c r="X2" s="1618"/>
      <c r="Y2" s="1618"/>
      <c r="Z2" s="1618"/>
      <c r="AA2" s="1618"/>
      <c r="AB2" s="1618"/>
    </row>
    <row r="3" spans="1:30">
      <c r="A3" s="294" t="s">
        <v>2168</v>
      </c>
      <c r="B3" s="2185">
        <v>45806</v>
      </c>
      <c r="C3" s="2186" t="s">
        <v>2169</v>
      </c>
      <c r="D3" s="2185">
        <f>B3</f>
        <v>45806</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3160" t="s">
        <v>3413</v>
      </c>
      <c r="C6" s="2195"/>
      <c r="D6" s="2196"/>
      <c r="E6" s="2439"/>
      <c r="F6" s="2440"/>
      <c r="G6" s="2440"/>
      <c r="H6" s="2440"/>
      <c r="I6" s="2440"/>
      <c r="J6" s="2243"/>
      <c r="K6" s="2399" t="str">
        <f>IF(COUNTIF(B6,"*上海银行*"),"上海银行","")</f>
        <v/>
      </c>
      <c r="L6" s="2397"/>
      <c r="M6" s="2397"/>
      <c r="N6" s="2243"/>
      <c r="O6" s="1670"/>
      <c r="P6" s="2243"/>
      <c r="Q6" s="2243"/>
      <c r="R6" s="2243"/>
    </row>
    <row r="7" spans="1:30">
      <c r="A7" s="2194" t="s">
        <v>2173</v>
      </c>
      <c r="B7" s="2197"/>
      <c r="C7" s="2195"/>
      <c r="D7" s="2196"/>
      <c r="E7" s="2439"/>
      <c r="F7" s="2440"/>
      <c r="G7" s="2440"/>
      <c r="H7" s="2440"/>
      <c r="I7" s="2440">
        <f>2005+40</f>
        <v>2045</v>
      </c>
      <c r="J7" s="2243"/>
      <c r="K7" s="2400"/>
      <c r="L7" s="2397"/>
      <c r="M7" s="2397"/>
      <c r="N7" s="2243"/>
      <c r="O7" s="1670"/>
      <c r="P7" s="2243"/>
      <c r="Q7" s="2243"/>
      <c r="R7" s="2243"/>
    </row>
    <row r="8" spans="1:30">
      <c r="A8" s="2198" t="s">
        <v>2174</v>
      </c>
      <c r="B8" s="2199" t="s">
        <v>3411</v>
      </c>
      <c r="C8" s="2200"/>
      <c r="D8" s="3219" t="s">
        <v>2175</v>
      </c>
      <c r="E8" s="2201"/>
      <c r="F8" s="2202"/>
      <c r="G8" s="2440"/>
      <c r="H8" s="2440"/>
      <c r="I8" s="2440"/>
      <c r="J8" s="2243"/>
      <c r="K8" s="2398"/>
      <c r="L8" s="2397"/>
      <c r="M8" s="2397"/>
      <c r="N8" s="2243"/>
      <c r="O8" s="1670"/>
      <c r="P8" s="2243"/>
      <c r="Q8" s="2243"/>
      <c r="R8" s="2243"/>
    </row>
    <row r="9" spans="1:30" ht="13.8" thickBot="1">
      <c r="A9" s="2203" t="s">
        <v>2176</v>
      </c>
      <c r="B9" s="2204"/>
      <c r="C9" s="2205"/>
      <c r="D9" s="3220"/>
      <c r="E9" s="2204"/>
      <c r="F9" s="2206"/>
      <c r="G9" s="2441"/>
      <c r="H9" s="2441"/>
      <c r="I9" s="2441"/>
      <c r="J9" s="2243"/>
      <c r="K9" s="2400"/>
      <c r="L9" s="2397"/>
      <c r="M9" s="2397"/>
      <c r="N9" s="2243"/>
      <c r="O9" s="1670"/>
      <c r="P9" s="2243"/>
      <c r="Q9" s="2243"/>
      <c r="R9" s="2243"/>
    </row>
    <row r="10" spans="1:30" ht="13.8" thickTop="1">
      <c r="A10" s="2207" t="s">
        <v>2177</v>
      </c>
      <c r="B10" s="2208" t="s">
        <v>3408</v>
      </c>
      <c r="C10" s="2209"/>
      <c r="D10" s="2193"/>
      <c r="E10" s="2210" t="s">
        <v>2178</v>
      </c>
      <c r="F10" s="3158" t="s">
        <v>3410</v>
      </c>
      <c r="G10" s="2442"/>
      <c r="H10" s="2443"/>
      <c r="I10" s="2444"/>
      <c r="J10" s="2243"/>
      <c r="K10" s="2400"/>
      <c r="L10" s="2397"/>
      <c r="M10" s="2397"/>
      <c r="N10" s="2243"/>
      <c r="O10" s="1670"/>
      <c r="P10" s="2243"/>
      <c r="Q10" s="2243"/>
      <c r="R10" s="2243"/>
    </row>
    <row r="11" spans="1:30">
      <c r="A11" s="2211" t="s">
        <v>2179</v>
      </c>
      <c r="B11" s="2212" t="s">
        <v>3409</v>
      </c>
      <c r="C11" s="3159" t="s">
        <v>3412</v>
      </c>
      <c r="D11" s="2213"/>
      <c r="E11" s="2182"/>
      <c r="F11" s="2182"/>
      <c r="G11" s="2182"/>
      <c r="H11" s="2182"/>
      <c r="I11" s="2182"/>
      <c r="J11" s="2799"/>
      <c r="K11" s="2397"/>
      <c r="L11" s="2397"/>
      <c r="M11" s="2397"/>
      <c r="N11" s="2243"/>
      <c r="O11" s="1670"/>
      <c r="P11" s="2243"/>
      <c r="Q11" s="2243"/>
      <c r="R11" s="2243"/>
    </row>
    <row r="12" spans="1:30">
      <c r="A12" s="2214" t="s">
        <v>2180</v>
      </c>
      <c r="B12" s="315" t="s">
        <v>2181</v>
      </c>
      <c r="C12" s="2215" t="s">
        <v>2182</v>
      </c>
      <c r="D12" s="2215" t="s">
        <v>2183</v>
      </c>
      <c r="E12" s="2215" t="s">
        <v>2184</v>
      </c>
      <c r="F12" s="2215" t="s">
        <v>2185</v>
      </c>
      <c r="G12" s="2215" t="s">
        <v>2186</v>
      </c>
      <c r="H12" s="2215" t="s">
        <v>2187</v>
      </c>
      <c r="I12" s="2798" t="s">
        <v>2574</v>
      </c>
      <c r="J12" s="2800"/>
      <c r="K12" s="2397"/>
      <c r="L12" s="2397"/>
      <c r="M12" s="2243"/>
      <c r="N12" s="1670"/>
      <c r="O12" s="2243"/>
      <c r="P12" s="2243"/>
      <c r="Q12" s="2243"/>
      <c r="AD12" s="1618"/>
    </row>
    <row r="13" spans="1:30">
      <c r="A13" s="3117" t="s">
        <v>3329</v>
      </c>
      <c r="B13" s="2216" t="s">
        <v>2188</v>
      </c>
      <c r="C13" s="803"/>
      <c r="D13" s="3165">
        <v>53109</v>
      </c>
      <c r="E13" s="803"/>
      <c r="F13" s="803"/>
      <c r="G13" s="803"/>
      <c r="H13" s="803"/>
      <c r="I13" s="803"/>
      <c r="J13" s="2800"/>
      <c r="K13" s="2397"/>
      <c r="L13" s="2397"/>
      <c r="M13" s="2243"/>
      <c r="N13" s="1670"/>
      <c r="O13" s="2243"/>
      <c r="P13" s="2243"/>
      <c r="Q13" s="2243"/>
      <c r="AD13" s="1618"/>
    </row>
    <row r="14" spans="1:30">
      <c r="A14" s="1018"/>
      <c r="B14" s="2216" t="s">
        <v>2189</v>
      </c>
      <c r="C14" s="2217"/>
      <c r="D14" s="2217">
        <v>40</v>
      </c>
      <c r="E14" s="2217"/>
      <c r="F14" s="2217"/>
      <c r="G14" s="2217"/>
      <c r="H14" s="2217"/>
      <c r="I14" s="2217"/>
      <c r="J14" s="2801"/>
      <c r="K14" s="2397"/>
      <c r="L14" s="2397"/>
      <c r="M14" s="2243"/>
      <c r="N14" s="1670"/>
      <c r="O14" s="2243"/>
      <c r="P14" s="2243"/>
      <c r="Q14" s="2243"/>
      <c r="AD14" s="1618"/>
    </row>
    <row r="15" spans="1:30">
      <c r="A15" s="312"/>
      <c r="B15" s="2218" t="s">
        <v>2190</v>
      </c>
      <c r="C15" s="2219" t="str">
        <f>IF(A13="出让",IF(C13="","",ROUNDDOWN(MIN((C13-$D$3)/365,C14),2)),C14)</f>
        <v/>
      </c>
      <c r="D15" s="2219">
        <f>IF(A13="出让",IF(D13="","",ROUNDDOWN(MIN((D13-$D$3)/365,D14),2)),D14)</f>
        <v>20</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2191</v>
      </c>
      <c r="B16" s="3226"/>
      <c r="C16" s="3227"/>
      <c r="D16" s="3228"/>
      <c r="E16" s="2220" t="s">
        <v>2192</v>
      </c>
      <c r="F16" s="3229"/>
      <c r="G16" s="3230"/>
      <c r="H16" s="3230"/>
      <c r="I16" s="3231"/>
      <c r="J16" s="2243"/>
      <c r="K16" s="2401"/>
      <c r="L16" s="1670"/>
      <c r="M16" s="1670"/>
      <c r="N16" s="2243"/>
      <c r="O16" s="1670"/>
      <c r="P16" s="2243"/>
      <c r="Q16" s="2243"/>
      <c r="R16" s="2243"/>
    </row>
    <row r="17" spans="1:28">
      <c r="A17" s="305" t="s">
        <v>2193</v>
      </c>
      <c r="B17" s="294" t="s">
        <v>2194</v>
      </c>
      <c r="C17" s="8">
        <f>'数据-汇总表'!E3</f>
        <v>170.67</v>
      </c>
      <c r="D17" s="1256" t="s">
        <v>2195</v>
      </c>
      <c r="E17" s="3232" t="s">
        <v>2196</v>
      </c>
      <c r="F17" s="3233"/>
      <c r="G17" s="3233"/>
      <c r="H17" s="3233"/>
      <c r="I17" s="3234"/>
      <c r="J17" s="2243"/>
      <c r="K17" s="2402"/>
      <c r="L17" s="1670"/>
      <c r="M17" s="1670"/>
      <c r="N17" s="2243"/>
      <c r="O17" s="1670"/>
      <c r="P17" s="2243"/>
      <c r="Q17" s="2243"/>
      <c r="R17" s="2243"/>
      <c r="S17" s="2243"/>
      <c r="T17" s="2243"/>
      <c r="U17" s="2243"/>
      <c r="V17" s="2243"/>
    </row>
    <row r="18" spans="1:28" ht="24.6" thickBot="1">
      <c r="A18" s="2221" t="s">
        <v>2197</v>
      </c>
      <c r="B18" s="1027" t="s">
        <v>2198</v>
      </c>
      <c r="C18" s="2222">
        <f>'数据-汇总表'!D3</f>
        <v>0</v>
      </c>
      <c r="D18" s="1029" t="s">
        <v>2199</v>
      </c>
      <c r="E18" s="3235" t="s">
        <v>2200</v>
      </c>
      <c r="F18" s="3236"/>
      <c r="G18" s="3236"/>
      <c r="H18" s="3236"/>
      <c r="I18" s="3237"/>
      <c r="J18" s="2243"/>
      <c r="K18" s="2402"/>
      <c r="L18" s="1670"/>
      <c r="M18" s="1670"/>
      <c r="N18" s="2243"/>
      <c r="O18" s="1670"/>
      <c r="P18" s="2243"/>
      <c r="Q18" s="2243"/>
      <c r="R18" s="2243"/>
      <c r="S18" s="2243"/>
      <c r="T18" s="2243"/>
      <c r="U18" s="2243"/>
      <c r="V18" s="2243"/>
    </row>
    <row r="19" spans="1:28" ht="54" thickTop="1" thickBot="1">
      <c r="A19" s="319" t="s">
        <v>1055</v>
      </c>
      <c r="B19" s="299" t="s">
        <v>2201</v>
      </c>
      <c r="C19" s="1455" t="s">
        <v>3414</v>
      </c>
      <c r="D19" s="1456" t="s">
        <v>2202</v>
      </c>
      <c r="E19" s="1457" t="s">
        <v>3415</v>
      </c>
      <c r="F19" s="1458" t="str">
        <f>IF(AND(C19="是",E19="否"),"是否提供他项权证或相关说明","")</f>
        <v>是否提供他项权证或相关说明</v>
      </c>
      <c r="G19" s="1459" t="s">
        <v>3415</v>
      </c>
      <c r="H19" s="2440"/>
      <c r="I19" s="2440"/>
      <c r="J19" s="2243"/>
      <c r="K19" s="2400"/>
      <c r="L19" s="2397"/>
      <c r="M19" s="2397"/>
      <c r="N19" s="2243"/>
      <c r="O19" s="1670"/>
      <c r="P19" s="2243"/>
      <c r="Q19" s="2243"/>
      <c r="R19" s="2243"/>
      <c r="S19" s="2243"/>
      <c r="T19" s="2243"/>
      <c r="U19" s="2243"/>
      <c r="V19" s="2243"/>
    </row>
    <row r="20" spans="1:28">
      <c r="A20" s="2415" t="s">
        <v>2203</v>
      </c>
      <c r="B20" s="3222" t="s">
        <v>2204</v>
      </c>
      <c r="C20" s="3223"/>
      <c r="D20" s="3224" t="s">
        <v>2205</v>
      </c>
      <c r="E20" s="3225"/>
      <c r="F20" s="2428" t="s">
        <v>1056</v>
      </c>
      <c r="G20" s="2440"/>
      <c r="H20" s="2440"/>
      <c r="I20" s="2440"/>
      <c r="J20" s="2243"/>
      <c r="K20" s="322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2207</v>
      </c>
      <c r="C21" s="2294" t="s">
        <v>1057</v>
      </c>
      <c r="D21" s="1460" t="s">
        <v>2208</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2209</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2210</v>
      </c>
      <c r="B23" s="2291" t="s">
        <v>2211</v>
      </c>
      <c r="C23" s="2420"/>
      <c r="D23" s="2421" t="s">
        <v>2211</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0" t="s">
        <v>2212</v>
      </c>
      <c r="B27" s="312" t="s">
        <v>2213</v>
      </c>
      <c r="C27" s="2223" t="s">
        <v>3419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0"/>
      <c r="B28" s="294" t="s">
        <v>2214</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0"/>
      <c r="B29" s="294" t="s">
        <v>2215</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1"/>
      <c r="B30" s="294" t="s">
        <v>2216</v>
      </c>
      <c r="C30" s="3212"/>
      <c r="D30" s="3213"/>
      <c r="E30" s="2440"/>
      <c r="F30" s="2440"/>
      <c r="G30" s="2440"/>
      <c r="H30" s="2440"/>
      <c r="I30" s="2440"/>
      <c r="J30" s="2243"/>
      <c r="K30" s="2400"/>
      <c r="L30" s="2397"/>
      <c r="M30" s="2397"/>
      <c r="N30" s="2243"/>
      <c r="O30" s="1670"/>
      <c r="P30" s="2243"/>
      <c r="Q30" s="2243"/>
      <c r="R30" s="2243"/>
      <c r="S30" s="2243"/>
      <c r="T30" s="2243"/>
      <c r="U30" s="2243"/>
      <c r="V30" s="2243"/>
    </row>
    <row r="31" spans="1:28">
      <c r="A31" s="3214" t="s">
        <v>2217</v>
      </c>
      <c r="B31" s="2229" t="s">
        <v>3418</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2218</v>
      </c>
      <c r="B34" s="1870"/>
      <c r="C34" s="1870"/>
      <c r="D34" s="1870"/>
      <c r="E34" s="1870"/>
      <c r="F34" s="1870"/>
      <c r="G34" s="1870"/>
      <c r="H34" s="1870"/>
      <c r="I34" s="2440"/>
      <c r="J34" s="2243"/>
      <c r="K34" s="8">
        <f>COUNTIF(B34:H34,"——")</f>
        <v>0</v>
      </c>
      <c r="L34" s="315" t="s">
        <v>2219</v>
      </c>
      <c r="M34" s="315" t="s">
        <v>2220</v>
      </c>
      <c r="N34" s="315" t="s">
        <v>2221</v>
      </c>
      <c r="O34" s="315" t="s">
        <v>2222</v>
      </c>
      <c r="P34" s="315" t="s">
        <v>2223</v>
      </c>
      <c r="Q34" s="315" t="s">
        <v>2224</v>
      </c>
      <c r="R34" s="315" t="s">
        <v>2225</v>
      </c>
      <c r="S34" s="3209" t="s">
        <v>2226</v>
      </c>
      <c r="T34" s="315" t="str">
        <f>NUMBERSTRING(7-K34,1)&amp;"通"</f>
        <v>七通</v>
      </c>
      <c r="U34" s="2243"/>
      <c r="V34" s="2243"/>
    </row>
    <row r="35" spans="1:30">
      <c r="A35" s="2234"/>
      <c r="B35" s="3209" t="s">
        <v>2227</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c r="A36" s="2183"/>
      <c r="B36" s="8" t="s">
        <v>2183</v>
      </c>
      <c r="C36" s="8" t="s">
        <v>2184</v>
      </c>
      <c r="D36" s="8" t="s">
        <v>2182</v>
      </c>
      <c r="E36" s="8" t="s">
        <v>2187</v>
      </c>
      <c r="F36" s="2798" t="s">
        <v>2577</v>
      </c>
      <c r="G36" s="2440"/>
      <c r="H36" s="2440"/>
      <c r="I36" s="2440"/>
      <c r="J36" s="2243"/>
      <c r="K36" s="2400"/>
      <c r="L36" s="2397"/>
      <c r="M36" s="2397"/>
      <c r="N36" s="2243"/>
      <c r="O36" s="1670"/>
      <c r="P36" s="2243"/>
      <c r="Q36" s="2243"/>
      <c r="R36" s="2243"/>
      <c r="S36" s="2243"/>
      <c r="T36" s="2243"/>
      <c r="U36" s="2243"/>
      <c r="V36" s="2243"/>
    </row>
    <row r="37" spans="1:30">
      <c r="A37" s="2413" t="s">
        <v>2228</v>
      </c>
      <c r="B37" s="2235" t="s">
        <v>305</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2229</v>
      </c>
      <c r="B38" s="2236" t="s">
        <v>3416</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2231</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1035.22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1035.22</v>
      </c>
      <c r="H5" s="13">
        <f t="shared" ref="H5:AT5" si="0">SUM(H13:H656)</f>
        <v>1035.22</v>
      </c>
      <c r="I5" s="13">
        <f t="shared" si="0"/>
        <v>1035.22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170.67</v>
      </c>
      <c r="BA5" s="15">
        <f t="shared" si="1"/>
        <v>170.67</v>
      </c>
      <c r="BB5" s="15">
        <f t="shared" si="1"/>
        <v>170.67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15</v>
      </c>
      <c r="D13" s="1513" t="s">
        <v>3414</v>
      </c>
      <c r="E13" s="13">
        <f>IF($C$3="是",ROUND($A$3*G13/$B$3,2),ROUND($A$3*(G13-AT13)/$B$3,2))</f>
        <v>0</v>
      </c>
      <c r="F13" s="29"/>
      <c r="G13" s="30">
        <f>H13+AC13+AT13</f>
        <v>170.67</v>
      </c>
      <c r="H13" s="17">
        <f>SUMIF(I$12:AB$12,"总值",I13:AB13)</f>
        <v>170.67</v>
      </c>
      <c r="I13" s="1514">
        <v>170.67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15</v>
      </c>
      <c r="AY13" s="1260">
        <f>ROUND($AY$6*AZ13/$AZ$5,2)</f>
        <v>0</v>
      </c>
      <c r="AZ13" s="13">
        <f>BA13+BL13</f>
        <v>170.67</v>
      </c>
      <c r="BA13" s="13">
        <f>SUM(BB13:BK13)</f>
        <v>170.67</v>
      </c>
      <c r="BB13" s="13">
        <f>IF($D13="是",I13-J13,0)</f>
        <v>170.67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16</v>
      </c>
      <c r="D14" s="1513" t="s">
        <v>3415</v>
      </c>
      <c r="E14" s="13">
        <f>IF($C$3="是",ROUND($A$3*G14/$B$3,2),ROUND($A$3*(G14-AT14)/$B$3,2))</f>
        <v>0</v>
      </c>
      <c r="F14" s="29"/>
      <c r="G14" s="30">
        <f>H14+AC14+AT14</f>
        <v>129.02000000000001</v>
      </c>
      <c r="H14" s="17">
        <f>SUMIF(I$12:AB$12,"总值",I14:AB14)</f>
        <v>129.02000000000001</v>
      </c>
      <c r="I14" s="1514">
        <v>129.02000000000001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16</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17</v>
      </c>
      <c r="D15" s="1513" t="s">
        <v>3415</v>
      </c>
      <c r="E15" s="13">
        <f>IF($C$3="是",ROUND($A$3*G15/$B$3,2),ROUND($A$3*(G15-AT15)/$B$3,2))</f>
        <v>0</v>
      </c>
      <c r="F15" s="29"/>
      <c r="G15" s="30">
        <f>H15+AC15+AT15</f>
        <v>146.81</v>
      </c>
      <c r="H15" s="17">
        <f>SUMIF(I$12:AB$12,"总值",I15:AB15)</f>
        <v>146.81</v>
      </c>
      <c r="I15" s="1514">
        <v>146.81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17</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v>18</v>
      </c>
      <c r="D16" s="1513" t="s">
        <v>3415</v>
      </c>
      <c r="E16" s="13">
        <f>IF($C$3="是",ROUND($A$3*G16/$B$3,2),ROUND($A$3*(G16-AT16)/$B$3,2))</f>
        <v>0</v>
      </c>
      <c r="F16" s="29"/>
      <c r="G16" s="30">
        <f>H16+AC16+AT16</f>
        <v>152.74</v>
      </c>
      <c r="H16" s="17">
        <f>SUMIF(I$12:AB$12,"总值",I16:AB16)</f>
        <v>152.74</v>
      </c>
      <c r="I16" s="1514">
        <v>152.74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18</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v>19</v>
      </c>
      <c r="D17" s="1513" t="s">
        <v>3415</v>
      </c>
      <c r="E17" s="13">
        <f>IF($C$3="是",ROUND($A$3*G17/$B$3,2),ROUND($A$3*(G17-AT17)/$B$3,2))</f>
        <v>0</v>
      </c>
      <c r="F17" s="29"/>
      <c r="G17" s="30">
        <f>H17+AC17+AT17</f>
        <v>152.74</v>
      </c>
      <c r="H17" s="17">
        <f>SUMIF(I$12:AB$12,"总值",I17:AB17)</f>
        <v>152.74</v>
      </c>
      <c r="I17" s="1514">
        <v>152.74</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19</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20</v>
      </c>
      <c r="D18" s="1513" t="s">
        <v>3415</v>
      </c>
      <c r="E18" s="32">
        <f t="shared" ref="E18:E112" si="7">IF($C$3="是",ROUND($A$3*G18/$B$3,2),ROUND($A$3*(G18-AT18)/$B$3,2))</f>
        <v>0</v>
      </c>
      <c r="F18" s="33"/>
      <c r="G18" s="34">
        <f t="shared" ref="G18:G109" si="8">H18+AC18+AT18</f>
        <v>146.81</v>
      </c>
      <c r="H18" s="35">
        <f t="shared" ref="H18:H109" si="9">SUMIF(I$12:AB$12,"总值",I18:AB18)</f>
        <v>146.81</v>
      </c>
      <c r="I18" s="36">
        <v>146.81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20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v>21</v>
      </c>
      <c r="D19" s="1513" t="s">
        <v>3415</v>
      </c>
      <c r="E19" s="32">
        <f t="shared" si="7"/>
        <v>0</v>
      </c>
      <c r="F19" s="33"/>
      <c r="G19" s="34">
        <f t="shared" si="8"/>
        <v>136.43</v>
      </c>
      <c r="H19" s="35">
        <f t="shared" si="9"/>
        <v>136.43</v>
      </c>
      <c r="I19" s="36">
        <v>136.43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21</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C25"/>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7"/>
      <c r="G2" s="2430"/>
      <c r="H2" s="2431"/>
      <c r="I2" s="2146" t="s">
        <v>1132</v>
      </c>
      <c r="J2" s="2437"/>
      <c r="K2" s="2437"/>
      <c r="L2" s="2437"/>
      <c r="M2" s="2437"/>
      <c r="N2" s="2438"/>
      <c r="O2" s="2437"/>
      <c r="P2" s="2437"/>
    </row>
    <row r="3" spans="1:16" ht="15" thickBot="1">
      <c r="A3" s="3248" t="s">
        <v>1105</v>
      </c>
      <c r="B3" s="3248"/>
      <c r="C3" s="3248"/>
      <c r="D3" s="41">
        <f>'数据-基础表'!AY6</f>
        <v>0</v>
      </c>
      <c r="E3" s="41">
        <f>'数据-基础表'!AZ5</f>
        <v>170.67</v>
      </c>
      <c r="F3" s="2437"/>
      <c r="G3" s="42"/>
      <c r="H3" s="43" t="s">
        <v>1106</v>
      </c>
      <c r="I3" s="802" t="e">
        <f>ROUND('数据-基础表'!B3/'数据-基础表'!A3,2)</f>
        <v>#DIV/0!</v>
      </c>
      <c r="J3" s="2437"/>
      <c r="K3" s="2437"/>
      <c r="L3" s="2437"/>
      <c r="M3" s="2437"/>
      <c r="N3" s="2438"/>
      <c r="O3" s="2437"/>
      <c r="P3" s="2437"/>
    </row>
    <row r="4" spans="1:16" ht="14.4">
      <c r="A4" s="3249"/>
      <c r="B4" s="3250"/>
      <c r="C4" s="3251"/>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2" t="s">
        <v>1110</v>
      </c>
      <c r="C5" s="325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2" t="s">
        <v>1111</v>
      </c>
      <c r="C6" s="3252"/>
      <c r="D6" s="43">
        <f>ROUND($D$3*E6/$E$3,2)</f>
        <v>0</v>
      </c>
      <c r="E6" s="44">
        <f>E3-E5</f>
        <v>170.67</v>
      </c>
      <c r="F6" s="2437"/>
      <c r="G6" s="1529" t="s">
        <v>1112</v>
      </c>
      <c r="H6" s="45" t="s">
        <v>1113</v>
      </c>
      <c r="I6" s="2433" t="e">
        <f>ROUND(F31/D31,2)</f>
        <v>#DIV/0!</v>
      </c>
      <c r="J6" s="2437"/>
      <c r="K6" s="2437"/>
      <c r="L6" s="2437"/>
      <c r="M6" s="2437"/>
      <c r="N6" s="2437"/>
      <c r="O6" s="2437"/>
      <c r="P6" s="2437"/>
    </row>
    <row r="7" spans="1:16" ht="15" thickBot="1">
      <c r="A7" s="3244"/>
      <c r="B7" s="3245"/>
      <c r="C7" s="3246"/>
      <c r="D7" s="1524" t="s">
        <v>1107</v>
      </c>
      <c r="E7" s="1528" t="s">
        <v>1114</v>
      </c>
      <c r="F7" s="2437"/>
      <c r="G7" s="2434" t="s">
        <v>1115</v>
      </c>
      <c r="H7" s="95"/>
      <c r="I7" s="2435">
        <v>2</v>
      </c>
      <c r="J7" s="2437"/>
      <c r="K7" s="3166" t="s">
        <v>3446</v>
      </c>
      <c r="L7" s="2437"/>
      <c r="M7" s="2437"/>
      <c r="N7" s="2437"/>
      <c r="O7" s="2437"/>
      <c r="P7" s="2437"/>
    </row>
    <row r="8" spans="1:16" ht="14.4">
      <c r="A8" s="42" t="s">
        <v>1116</v>
      </c>
      <c r="B8" s="45" t="s">
        <v>1117</v>
      </c>
      <c r="C8" s="43" t="s">
        <v>1118</v>
      </c>
      <c r="D8" s="43">
        <f t="shared" ref="D8:D15" si="0">ROUND($D$3*E8/$E$3,2)</f>
        <v>0</v>
      </c>
      <c r="E8" s="46">
        <f>SUMIF('数据-基础表'!BB10:BK10,"地上",'数据-基础表'!BB5:BK5)</f>
        <v>170.67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170.67</v>
      </c>
      <c r="F16" s="2437"/>
      <c r="G16" s="2437"/>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'数据-基础表'!C13</f>
        <v>15</v>
      </c>
      <c r="D19" s="43">
        <f>ROUND($D$3*E19/$E$3,2)</f>
        <v>0</v>
      </c>
      <c r="E19" s="51">
        <f t="shared" ref="E19:E26" si="1">SUM(F19:G19)</f>
        <v>170.67</v>
      </c>
      <c r="F19" s="2555">
        <f>'数据-基础表'!G13</f>
        <v>170.67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170.67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170.67</v>
      </c>
      <c r="F27" s="1072">
        <f>IF(SUM(F19:F26)=E8,SUM(F19:F26),"地上面积有误")</f>
        <v>170.67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170.67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170.67</v>
      </c>
      <c r="F31" s="644">
        <f>F27+F30</f>
        <v>170.67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45806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15</v>
      </c>
      <c r="B6" s="1587" t="str">
        <f>IF(A6=0,"","经营性")</f>
        <v>经营性</v>
      </c>
      <c r="C6" s="1588" t="s">
        <v>673</v>
      </c>
      <c r="D6" s="805">
        <f>SUMIF(项目基本情况!C$12:I$12,C6,项目基本情况!C$14:I$14)</f>
        <v>40</v>
      </c>
      <c r="E6" s="804">
        <f>IF(B6="","",SUMIF(项目基本情况!C$12:I$12,C6,项目基本情况!C$13:I$13))</f>
        <v>53109</v>
      </c>
      <c r="F6" s="61">
        <f>SUMIF(项目基本情况!C$12:I$12,C6,项目基本情况!C$15:I$15)</f>
        <v>20</v>
      </c>
      <c r="G6" s="62">
        <f>IF(ISERROR(ROUND(POWER(1+H6,D6-F6)*(POWER(1+H6,F6)-1)/(POWER(1+H6,D6)-1),3)),0,ROUND(POWER(1+H6,D6-F6)*(POWER(1+H6,F6)-1)/(POWER(1+H6,D6)-1),3))</f>
        <v>0.72599999999999998</v>
      </c>
      <c r="H6" s="691">
        <v>0.05</v>
      </c>
      <c r="I6" s="691">
        <v>5.5E-2</v>
      </c>
      <c r="J6" s="63">
        <v>7.0000000000000007E-2</v>
      </c>
      <c r="K6" s="970">
        <f>SUMIF('数据-汇总表'!C$19:C$33,A6,'数据-汇总表'!E$19:E$33)</f>
        <v>170.67</v>
      </c>
      <c r="L6" s="692">
        <v>3000</v>
      </c>
      <c r="M6" s="64">
        <f t="shared" ref="M6:M14" si="0">ROUND(K6*L6/10000,0)</f>
        <v>51</v>
      </c>
      <c r="N6" s="690">
        <f>N21</f>
        <v>0.73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506">
        <v>1</v>
      </c>
      <c r="V6" s="67">
        <v>0.02</v>
      </c>
      <c r="W6" s="67">
        <v>0.1</v>
      </c>
      <c r="X6" s="979"/>
      <c r="Y6" s="68">
        <f>N6</f>
        <v>0.73</v>
      </c>
      <c r="Z6" s="69"/>
      <c r="AA6" s="63"/>
      <c r="AB6" s="63"/>
      <c r="AC6" s="979"/>
      <c r="AD6" s="70"/>
      <c r="AE6" s="980">
        <f ca="1">IF(AN6="",0,SUMIF(INDIRECT("'"&amp;AN6&amp;"'"&amp;"!E:E"),$AE$5,INDIRECT("'"&amp;AN6&amp;"'"&amp;"!F:F")))</f>
        <v>20</v>
      </c>
      <c r="AF6" s="74"/>
      <c r="AG6" s="130">
        <f>IF(AF6="",0,AE6-AF6)</f>
        <v>0</v>
      </c>
      <c r="AH6" s="71"/>
      <c r="AI6" s="73">
        <v>365</v>
      </c>
      <c r="AJ6" s="74"/>
      <c r="AK6" s="75">
        <v>0.01</v>
      </c>
      <c r="AL6" s="76">
        <v>1E-3</v>
      </c>
      <c r="AM6" s="77">
        <v>0.01</v>
      </c>
      <c r="AN6" s="1589" t="s">
        <v>3429</v>
      </c>
      <c r="AO6" s="50">
        <f ca="1">SUMIF(INDIRECT("'"&amp;AN6&amp;"'"&amp;"!A:A"),"总价",INDIRECT("'"&amp;AN6&amp;"'"&amp;"!B:B"))</f>
        <v>77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0.72599999999999998</v>
      </c>
      <c r="H16" s="84">
        <f>ROUND(SUMPRODUCT(H6:H13,K6:K13)/SUMPRODUCT((H6:H13&gt;0)*(K6:K13)),3)</f>
        <v>0.05</v>
      </c>
      <c r="I16" s="85"/>
      <c r="J16" s="85"/>
      <c r="K16" s="86">
        <f>SUM(K6:K15)</f>
        <v>170.67</v>
      </c>
      <c r="L16" s="87">
        <f>ROUND(M16*10000/SUM(K6:K14),0)</f>
        <v>2988</v>
      </c>
      <c r="M16" s="87">
        <f>SUM(M6:M14)</f>
        <v>51</v>
      </c>
      <c r="N16" s="88">
        <f>ROUND(SUMPRODUCT(M6:M14,N6:N14)/M16,3)</f>
        <v>0.73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3" t="s">
        <v>3427</v>
      </c>
      <c r="N18" s="2446">
        <v>2007</v>
      </c>
      <c r="O18" s="3505" t="s">
        <v>3481</v>
      </c>
      <c r="P18" s="3164">
        <f>N18-B20</f>
        <v>2005</v>
      </c>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2300</v>
      </c>
      <c r="D19" s="2449"/>
      <c r="E19" s="2437"/>
      <c r="F19" s="2437"/>
      <c r="G19" s="2437"/>
      <c r="H19" s="2437"/>
      <c r="I19" s="2437"/>
      <c r="J19" s="2437"/>
      <c r="K19" s="2447"/>
      <c r="L19" s="2447"/>
      <c r="M19" s="3163" t="s">
        <v>3428</v>
      </c>
      <c r="N19" s="2446">
        <f>ROUND(1-(1-2%)*(2025-N18)/50,2)</f>
        <v>0.65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2298</v>
      </c>
      <c r="D20" s="2449"/>
      <c r="E20" s="2437"/>
      <c r="F20" s="2437"/>
      <c r="G20" s="2437"/>
      <c r="H20" s="2437"/>
      <c r="I20" s="2437"/>
      <c r="J20" s="2437"/>
      <c r="K20" s="2447"/>
      <c r="L20" s="2447"/>
      <c r="M20" s="3163" t="s">
        <v>3434</v>
      </c>
      <c r="N20" s="2446">
        <v>0.8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3" t="s">
        <v>3435</v>
      </c>
      <c r="N21" s="2446">
        <f>ROUND((N19+N20)/2,2)</f>
        <v>0.73</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150</v>
      </c>
      <c r="C27" s="2560" t="s">
        <v>2302</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2292</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2293</v>
      </c>
      <c r="D34" s="2457" t="s">
        <v>2299</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2294</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2" t="s">
        <v>3421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2295</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2296</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2295</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2301</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3" t="s">
        <v>2284</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5"/>
      <c r="E2" s="2258"/>
      <c r="F2" s="2261"/>
      <c r="G2" s="2260" t="s">
        <v>2280</v>
      </c>
      <c r="H2" s="751"/>
      <c r="I2" s="751"/>
      <c r="J2" s="751"/>
      <c r="K2" s="751"/>
      <c r="L2" s="751"/>
      <c r="M2" s="751"/>
      <c r="N2" s="751"/>
      <c r="O2" s="751"/>
      <c r="P2" s="751"/>
      <c r="Q2" s="751"/>
    </row>
    <row r="3" spans="1:29" ht="48">
      <c r="A3" s="2245" t="s">
        <v>2281</v>
      </c>
      <c r="B3" s="2262" t="s">
        <v>2250</v>
      </c>
      <c r="C3" s="2263" t="s">
        <v>2282</v>
      </c>
      <c r="D3" s="2264"/>
      <c r="E3" s="2246" t="s">
        <v>2281</v>
      </c>
      <c r="F3" s="2265" t="s">
        <v>2251</v>
      </c>
      <c r="G3" s="2266" t="s">
        <v>2283</v>
      </c>
      <c r="H3" s="751"/>
      <c r="I3" s="751"/>
      <c r="J3" s="751"/>
      <c r="K3" s="751"/>
      <c r="L3" s="751"/>
      <c r="M3" s="751"/>
      <c r="N3" s="751"/>
      <c r="O3" s="751"/>
      <c r="P3" s="751"/>
      <c r="Q3" s="751"/>
    </row>
    <row r="4" spans="1:29" ht="37.200000000000003">
      <c r="A4" s="2246"/>
      <c r="B4" s="315" t="s">
        <v>2252</v>
      </c>
      <c r="C4" s="2267" t="s">
        <v>2253</v>
      </c>
      <c r="D4" s="2264"/>
      <c r="E4" s="2268"/>
      <c r="F4" s="1281" t="s">
        <v>2254</v>
      </c>
      <c r="G4" s="2269" t="s">
        <v>2255</v>
      </c>
      <c r="H4" s="751"/>
      <c r="I4" s="751"/>
      <c r="J4" s="751"/>
      <c r="K4" s="751"/>
      <c r="L4" s="751"/>
      <c r="M4" s="751"/>
      <c r="N4" s="751"/>
      <c r="O4" s="751"/>
      <c r="P4" s="751"/>
      <c r="Q4" s="751"/>
    </row>
    <row r="5" spans="1:29" ht="37.200000000000003">
      <c r="A5" s="2246"/>
      <c r="B5" s="315" t="s">
        <v>2256</v>
      </c>
      <c r="C5" s="2267" t="s">
        <v>2257</v>
      </c>
      <c r="D5" s="2264"/>
      <c r="E5" s="2268"/>
      <c r="F5" s="315" t="s">
        <v>2258</v>
      </c>
      <c r="G5" s="2269" t="s">
        <v>2259</v>
      </c>
      <c r="H5" s="751"/>
      <c r="I5" s="751"/>
      <c r="J5" s="751"/>
      <c r="K5" s="751"/>
      <c r="L5" s="751"/>
      <c r="M5" s="751"/>
      <c r="N5" s="751"/>
      <c r="O5" s="751"/>
      <c r="P5" s="751"/>
      <c r="Q5" s="751"/>
    </row>
    <row r="6" spans="1:29" ht="48">
      <c r="A6" s="2246"/>
      <c r="B6" s="315" t="s">
        <v>2260</v>
      </c>
      <c r="C6" s="2269" t="s">
        <v>2255</v>
      </c>
      <c r="D6" s="2264"/>
      <c r="E6" s="2268"/>
      <c r="F6" s="315" t="s">
        <v>2261</v>
      </c>
      <c r="G6" s="2269" t="s">
        <v>2262</v>
      </c>
      <c r="H6" s="751"/>
      <c r="I6" s="751"/>
      <c r="J6" s="751"/>
      <c r="K6" s="751"/>
      <c r="L6" s="751"/>
      <c r="M6" s="751"/>
      <c r="N6" s="751"/>
      <c r="O6" s="751"/>
      <c r="P6" s="751"/>
      <c r="Q6" s="751"/>
    </row>
    <row r="7" spans="1:29" ht="36.6" thickBot="1">
      <c r="A7" s="2246"/>
      <c r="B7" s="315" t="s">
        <v>2258</v>
      </c>
      <c r="C7" s="2269" t="s">
        <v>2259</v>
      </c>
      <c r="D7" s="2243"/>
      <c r="E7" s="2270"/>
      <c r="F7" s="2271" t="s">
        <v>2263</v>
      </c>
      <c r="G7" s="2272" t="s">
        <v>2264</v>
      </c>
      <c r="H7" s="751"/>
      <c r="I7" s="751"/>
      <c r="J7" s="751"/>
      <c r="K7" s="751"/>
      <c r="L7" s="751"/>
      <c r="M7" s="751"/>
      <c r="N7" s="751"/>
      <c r="O7" s="751"/>
      <c r="P7" s="751"/>
      <c r="Q7" s="751"/>
    </row>
    <row r="8" spans="1:29" ht="24">
      <c r="A8" s="2246"/>
      <c r="B8" s="315" t="s">
        <v>2261</v>
      </c>
      <c r="C8" s="2269" t="s">
        <v>2262</v>
      </c>
      <c r="D8" s="2243"/>
      <c r="E8" s="2243"/>
      <c r="F8" s="121"/>
      <c r="G8" s="121"/>
      <c r="H8" s="751"/>
      <c r="I8" s="751"/>
      <c r="J8" s="751"/>
      <c r="K8" s="751"/>
      <c r="L8" s="751"/>
      <c r="M8" s="751"/>
      <c r="N8" s="751"/>
      <c r="O8" s="751"/>
      <c r="P8" s="751"/>
      <c r="Q8" s="751"/>
    </row>
    <row r="9" spans="1:29" ht="24">
      <c r="A9" s="2246"/>
      <c r="B9" s="315" t="s">
        <v>2265</v>
      </c>
      <c r="C9" s="2267" t="s">
        <v>2266</v>
      </c>
      <c r="D9" s="2264"/>
      <c r="E9" s="2243"/>
      <c r="F9" s="121"/>
      <c r="G9" s="121"/>
      <c r="H9" s="751"/>
      <c r="I9" s="751"/>
      <c r="J9" s="751"/>
      <c r="K9" s="751"/>
      <c r="L9" s="751"/>
      <c r="M9" s="751"/>
      <c r="N9" s="751"/>
      <c r="O9" s="751"/>
      <c r="P9" s="751"/>
      <c r="Q9" s="751"/>
    </row>
    <row r="10" spans="1:29" ht="14.4"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9.6">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9.6">
      <c r="A17" s="2250"/>
      <c r="B17" s="2289" t="s">
        <v>2256</v>
      </c>
      <c r="C17" s="2290" t="str">
        <f>C5</f>
        <v>估价对象位于XX商圈，周边办公楼项目较多，入驻率高，办公集聚程度较好</v>
      </c>
      <c r="D17" s="2243"/>
      <c r="E17" s="2251"/>
      <c r="F17" s="2291" t="s">
        <v>2273</v>
      </c>
      <c r="G17" s="2293"/>
    </row>
    <row r="18" spans="1:17" ht="52.8">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6.4">
      <c r="A19" s="2250"/>
      <c r="B19" s="2291" t="s">
        <v>2274</v>
      </c>
      <c r="C19" s="2293"/>
      <c r="D19" s="2264"/>
      <c r="E19" s="2251"/>
      <c r="F19" s="315" t="s">
        <v>2258</v>
      </c>
      <c r="G19" s="2292" t="str">
        <f>G5</f>
        <v>估价对象所在区域公共配套设施齐备情况</v>
      </c>
    </row>
    <row r="20" spans="1:17" ht="26.4">
      <c r="A20" s="2250"/>
      <c r="B20" s="2291" t="s">
        <v>2275</v>
      </c>
      <c r="C20" s="2290" t="str">
        <f>C9</f>
        <v>区域自然环境：；人文环境；综合评价环境状况一般</v>
      </c>
      <c r="D20" s="2243"/>
      <c r="E20" s="2251"/>
      <c r="F20" s="315" t="s">
        <v>2261</v>
      </c>
      <c r="G20" s="2292" t="str">
        <f>G6</f>
        <v>估价对象所在区域基础设施水平</v>
      </c>
    </row>
    <row r="21" spans="1:17" ht="26.4">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1" customFormat="1" ht="14.4" thickBot="1">
      <c r="A23" s="2250"/>
      <c r="B23" s="2291" t="s">
        <v>2276</v>
      </c>
      <c r="C23" s="2294"/>
      <c r="D23" s="1614"/>
      <c r="E23" s="2252"/>
      <c r="F23" s="2295" t="s">
        <v>2277</v>
      </c>
      <c r="G23" s="2296"/>
      <c r="H23" s="2275"/>
      <c r="I23" s="2275"/>
      <c r="J23" s="2275"/>
      <c r="K23" s="2275"/>
      <c r="L23" s="2275"/>
      <c r="M23" s="2275"/>
      <c r="N23" s="2275"/>
      <c r="O23" s="2275"/>
      <c r="P23" s="2275"/>
      <c r="Q23" s="2275"/>
    </row>
    <row r="24" spans="1:17" s="751" customFormat="1" ht="14.4" thickBot="1">
      <c r="A24" s="2253"/>
      <c r="B24" s="2295" t="s">
        <v>2278</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1035.22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45806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929</v>
      </c>
      <c r="C5" s="2298">
        <f ca="1">IF(B5=D14,结果表!H102,ROUND(B5*10000/$B$1,0))</f>
        <v>8977</v>
      </c>
      <c r="D5" s="2298" t="e">
        <f ca="1">ROUND(B5*10000/$B$2,0)</f>
        <v>#DIV/0!</v>
      </c>
      <c r="E5" s="2459"/>
      <c r="F5" s="2460"/>
      <c r="G5" s="2460"/>
      <c r="H5" s="2460"/>
      <c r="I5" s="2460"/>
      <c r="J5" s="2460"/>
      <c r="K5" s="2460"/>
    </row>
    <row r="6" spans="1:11" ht="15.6">
      <c r="A6" s="2298" t="s">
        <v>656</v>
      </c>
      <c r="B6" s="2298">
        <f>SUM(G14:G23)</f>
        <v>0</v>
      </c>
      <c r="C6" s="2298">
        <f ca="1">IF(B6=G14,结果表!H108,ROUND(B6*10000/$B$1,0))</f>
        <v>8977</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2"/>
      <c r="F10" s="3136" t="s">
        <v>3354</v>
      </c>
      <c r="G10" s="3133"/>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1035.22</v>
      </c>
      <c r="C14" s="2304"/>
      <c r="D14" s="2304">
        <f ca="1">典型户型修正!S22</f>
        <v>929</v>
      </c>
      <c r="E14" s="2304">
        <f ca="1">典型户型修正!R22</f>
        <v>8974</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8" zoomScale="70" zoomScaleNormal="100" zoomScaleSheetLayoutView="70" zoomScalePageLayoutView="80" workbookViewId="0">
      <selection activeCell="C1" sqref="C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15</v>
      </c>
      <c r="D1" s="646"/>
      <c r="E1" s="646"/>
      <c r="F1" s="1621" t="s">
        <v>1263</v>
      </c>
      <c r="G1" s="1453"/>
      <c r="H1" s="1621" t="str">
        <f>IF(G1="现房","——","估价对象范围")</f>
        <v>估价对象范围</v>
      </c>
      <c r="I1" s="1622"/>
    </row>
    <row r="2" spans="1:12" ht="21.75" customHeight="1" thickBot="1">
      <c r="A2" s="3289" t="str">
        <f>项目基本情况!S2</f>
        <v>北京市密云县阳光街783幢房地产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3451</v>
      </c>
      <c r="D4" s="1626" t="s">
        <v>3429</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6</v>
      </c>
      <c r="D14" s="3292">
        <v>4</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9" t="s">
        <v>2129</v>
      </c>
      <c r="F18" s="3280"/>
      <c r="G18" s="3280"/>
      <c r="H18" s="3280"/>
      <c r="I18" s="3280"/>
      <c r="K18" s="294" t="s">
        <v>1289</v>
      </c>
      <c r="L18" s="294">
        <f>IF(C1="",'数据-汇总表'!E3,SUMIF(项目类型,C1,'数据-汇总表'!E17:E26)+SUMIF(项目类型,C1,'数据-汇总表'!I17:I26))</f>
        <v>170.67</v>
      </c>
      <c r="M18" s="294">
        <f>IF(C1="",'数据-汇总表'!E3,SUMIF(项目类型,C1,'数据-汇总表'!E17:E26))</f>
        <v>170.67</v>
      </c>
    </row>
    <row r="19" spans="1:36" ht="14.4">
      <c r="A19" s="1630" t="s">
        <v>1290</v>
      </c>
      <c r="B19" s="1631" t="s">
        <v>1291</v>
      </c>
      <c r="C19" s="126">
        <f ca="1">SUMIF(INDIRECT("'"&amp;C4&amp;"'"&amp;"!A:A"),结果表!B19,INDIRECT("'"&amp;C4&amp;"'"&amp;"!B:B"))</f>
        <v>204</v>
      </c>
      <c r="D19" s="127">
        <f ca="1">SUMIF(INDIRECT("'"&amp;D4&amp;"'"&amp;"!A:A"),结果表!B19,INDIRECT("'"&amp;D4&amp;"'"&amp;"!B:B"))</f>
        <v>77</v>
      </c>
      <c r="E19" s="1630" t="s">
        <v>1292</v>
      </c>
      <c r="F19" s="1631" t="s">
        <v>1291</v>
      </c>
      <c r="G19" s="128">
        <f ca="1">ROUND(C19*$C$18+D19*$D$18,0)</f>
        <v>153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11953</v>
      </c>
      <c r="D20" s="130">
        <f ca="1">SUMIF(INDIRECT("'"&amp;D4&amp;"'"&amp;"!A:A"),结果表!B20,INDIRECT("'"&amp;D4&amp;"'"&amp;"!B:B"))</f>
        <v>4512</v>
      </c>
      <c r="E20" s="1633"/>
      <c r="F20" s="43" t="s">
        <v>1295</v>
      </c>
      <c r="G20" s="131">
        <f ca="1">ROUND(C20*$C$18+D20*$D$18,0)</f>
        <v>8977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1.6493506493506493</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8977</v>
      </c>
      <c r="D32" s="1641" t="s">
        <v>3453</v>
      </c>
      <c r="E32" s="121"/>
      <c r="F32" s="121"/>
      <c r="G32" s="121"/>
      <c r="H32" s="121"/>
      <c r="I32" s="121"/>
    </row>
    <row r="33" spans="1:15" ht="14.4">
      <c r="A33" s="740" t="s">
        <v>1306</v>
      </c>
      <c r="B33" s="123"/>
      <c r="C33" s="1642" t="s">
        <v>3454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153</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45806</v>
      </c>
      <c r="N47" s="3340"/>
      <c r="O47" s="3340"/>
    </row>
    <row r="48" spans="1:15" ht="39.6">
      <c r="A48" s="3288" t="s">
        <v>1338</v>
      </c>
      <c r="B48" s="3271"/>
      <c r="C48" s="3271"/>
      <c r="D48" s="12">
        <f ca="1">IF(H48="情况1",0,IF(H48="情况2",D52,IF(H48="情况3",D53,IF(H48="情况4",D54))))</f>
        <v>0</v>
      </c>
      <c r="E48" s="1256" t="str">
        <f>IF(H48="情况4","(销售额-原购置价)×税（费）率","销售额×税（费）率")</f>
        <v>(销售额-原购置价)×税（费）率</v>
      </c>
      <c r="F48" s="2333">
        <f>IF(H48="情况1","免征",'数据-取费表'!B41)</f>
        <v>5.6000000000000001E-2</v>
      </c>
      <c r="G48" s="2334" t="s">
        <v>1339</v>
      </c>
      <c r="H48" s="2335" t="s">
        <v>3455</v>
      </c>
      <c r="I48" s="1668"/>
      <c r="J48" s="2308">
        <v>3</v>
      </c>
      <c r="K48" s="3319" t="s">
        <v>1340</v>
      </c>
      <c r="L48" s="3319"/>
      <c r="M48" s="3341">
        <f ca="1">H101</f>
        <v>153</v>
      </c>
      <c r="N48" s="3341"/>
      <c r="O48" s="3341"/>
    </row>
    <row r="49" spans="1:35" ht="25.5" customHeight="1">
      <c r="A49" s="2152" t="s">
        <v>1341</v>
      </c>
      <c r="B49" s="3255" t="s">
        <v>1342</v>
      </c>
      <c r="C49" s="3255"/>
      <c r="D49" s="1478">
        <v>0</v>
      </c>
      <c r="E49" s="316" t="s">
        <v>1343</v>
      </c>
      <c r="F49" s="2231" t="s">
        <v>28</v>
      </c>
      <c r="G49" s="3325"/>
      <c r="H49" s="2134" t="s">
        <v>2132</v>
      </c>
      <c r="I49" s="2135"/>
      <c r="J49" s="2308">
        <v>4</v>
      </c>
      <c r="K49" s="3319" t="str">
        <f>IF(项目基本情况!E8="房地产抵押价值","房地产抵押价值","抵押担保权已注销时的房地产抵押价值")</f>
        <v>抵押担保权已注销时的房地产抵押价值</v>
      </c>
      <c r="L49" s="3319"/>
      <c r="M49" s="3341" t="str">
        <f>IF(项目基本情况!E8="房地产抵押价值",H107,H109)</f>
        <v>——</v>
      </c>
      <c r="N49" s="3341"/>
      <c r="O49" s="3341"/>
    </row>
    <row r="50" spans="1:35" ht="25.5" customHeight="1">
      <c r="A50" s="2336"/>
      <c r="B50" s="3255" t="s">
        <v>1344</v>
      </c>
      <c r="C50" s="3255"/>
      <c r="D50" s="2189"/>
      <c r="E50" s="323"/>
      <c r="F50" s="2231"/>
      <c r="G50" s="3326"/>
      <c r="H50" s="2136" t="s">
        <v>2133</v>
      </c>
      <c r="I50" s="2135"/>
      <c r="J50" s="3338" t="s">
        <v>1345</v>
      </c>
      <c r="K50" s="3338"/>
      <c r="L50" s="3338"/>
      <c r="M50" s="3338"/>
      <c r="N50" s="3338"/>
      <c r="O50" s="3338"/>
    </row>
    <row r="51" spans="1:35" ht="20.399999999999999" customHeight="1">
      <c r="A51" s="2337"/>
      <c r="B51" s="3255" t="s">
        <v>1346</v>
      </c>
      <c r="C51" s="3255"/>
      <c r="D51" s="1024"/>
      <c r="E51" s="319"/>
      <c r="F51" s="2231"/>
      <c r="G51" s="3327"/>
      <c r="H51" s="2136" t="s">
        <v>2134</v>
      </c>
      <c r="I51" s="2135"/>
      <c r="J51" s="2309" t="s">
        <v>1347</v>
      </c>
      <c r="K51" s="3319" t="s">
        <v>1348</v>
      </c>
      <c r="L51" s="3319"/>
      <c r="M51" s="2309" t="s">
        <v>1349</v>
      </c>
      <c r="N51" s="2309" t="s">
        <v>1350</v>
      </c>
      <c r="O51" s="2309" t="s">
        <v>1351</v>
      </c>
    </row>
    <row r="52" spans="1:35" ht="24" customHeight="1">
      <c r="A52" s="2153" t="s">
        <v>1352</v>
      </c>
      <c r="B52" s="3255" t="s">
        <v>1353</v>
      </c>
      <c r="C52" s="3255"/>
      <c r="D52" s="1024">
        <f ca="1">ROUND(D45*'数据-取费表'!B41/(1+'数据-取费表'!C42),0)</f>
        <v>8</v>
      </c>
      <c r="E52" s="1256" t="s">
        <v>1354</v>
      </c>
      <c r="F52" s="2338">
        <f>'数据-取费表'!B41</f>
        <v>5.6000000000000001E-2</v>
      </c>
      <c r="G52" s="2339"/>
      <c r="H52" s="2329"/>
      <c r="I52" s="1669"/>
      <c r="J52" s="2308">
        <v>1</v>
      </c>
      <c r="K52" s="3320" t="s">
        <v>1355</v>
      </c>
      <c r="L52" s="3320"/>
      <c r="M52" s="2310">
        <f ca="1">D48</f>
        <v>0</v>
      </c>
      <c r="N52" s="2308" t="str">
        <f>E48</f>
        <v>(销售额-原购置价)×税（费）率</v>
      </c>
      <c r="O52" s="2311">
        <f>F48</f>
        <v>5.6000000000000001E-2</v>
      </c>
    </row>
    <row r="53" spans="1:35" ht="12" customHeight="1">
      <c r="A53" s="2153" t="s">
        <v>1356</v>
      </c>
      <c r="B53" s="3281" t="s">
        <v>2289</v>
      </c>
      <c r="C53" s="3282"/>
      <c r="D53" s="1024">
        <f ca="1">ROUND(D45*'数据-取费表'!B41/(1+'数据-取费表'!C42),0)</f>
        <v>8</v>
      </c>
      <c r="E53" s="1256" t="s">
        <v>1354</v>
      </c>
      <c r="F53" s="2338">
        <f>'数据-取费表'!B41</f>
        <v>5.6000000000000001E-2</v>
      </c>
      <c r="G53" s="2339"/>
      <c r="H53" s="2329"/>
      <c r="I53" s="1669"/>
      <c r="J53" s="2308">
        <v>2</v>
      </c>
      <c r="K53" s="3320" t="s">
        <v>1357</v>
      </c>
      <c r="L53" s="3320"/>
      <c r="M53" s="2310">
        <f t="shared" ref="M53:O54" ca="1" si="0">D55</f>
        <v>0</v>
      </c>
      <c r="N53" s="2308" t="str">
        <f t="shared" si="0"/>
        <v>销售额×税（费）率</v>
      </c>
      <c r="O53" s="2311">
        <f t="shared" si="0"/>
        <v>5.0000000000000001E-4</v>
      </c>
    </row>
    <row r="54" spans="1:35" ht="12" customHeight="1">
      <c r="A54" s="2153" t="s">
        <v>1358</v>
      </c>
      <c r="B54" s="3281" t="s">
        <v>2290</v>
      </c>
      <c r="C54" s="3282"/>
      <c r="D54" s="1024">
        <f ca="1">C68</f>
        <v>0</v>
      </c>
      <c r="E54" s="319" t="s">
        <v>1359</v>
      </c>
      <c r="F54" s="2338">
        <f>'数据-取费表'!B41</f>
        <v>5.6000000000000001E-2</v>
      </c>
      <c r="G54" s="2339"/>
      <c r="H54" s="2340"/>
      <c r="I54" s="1669"/>
      <c r="J54" s="2308">
        <v>3</v>
      </c>
      <c r="K54" s="3320" t="s">
        <v>1360</v>
      </c>
      <c r="L54" s="3320"/>
      <c r="M54" s="2310">
        <f t="shared" ca="1" si="0"/>
        <v>0</v>
      </c>
      <c r="N54" s="2308" t="str">
        <f t="shared" si="0"/>
        <v>增值额×税（费）率</v>
      </c>
      <c r="O54" s="2312" t="str">
        <f t="shared" si="0"/>
        <v>——</v>
      </c>
    </row>
    <row r="55" spans="1:35" ht="24" customHeight="1">
      <c r="A55" s="3270" t="s">
        <v>1361</v>
      </c>
      <c r="B55" s="3271"/>
      <c r="C55" s="3271"/>
      <c r="D55" s="12">
        <f ca="1">IF(H55="个人住宅",0,ROUND(D45*I55,0))</f>
        <v>0</v>
      </c>
      <c r="E55" s="1256" t="s">
        <v>1362</v>
      </c>
      <c r="F55" s="2338">
        <f>IF(H55="正常",I55,"免征")</f>
        <v>5.0000000000000001E-4</v>
      </c>
      <c r="G55" s="2339"/>
      <c r="H55" s="2335" t="s">
        <v>3456</v>
      </c>
      <c r="I55" s="157">
        <f>'数据-取费表'!B49</f>
        <v>5.0000000000000001E-4</v>
      </c>
      <c r="J55" s="2308">
        <f>IF(H59="非个人房产","",4)</f>
        <v>4</v>
      </c>
      <c r="K55" s="3320" t="str">
        <f>IF(H59="非个人房产","——","个人所得税")</f>
        <v>个人所得税</v>
      </c>
      <c r="L55" s="3320"/>
      <c r="M55" s="2313">
        <f ca="1">D59</f>
        <v>2</v>
      </c>
      <c r="N55" s="1883" t="str">
        <f>E59</f>
        <v>销售额×税（费）率</v>
      </c>
      <c r="O55" s="2314">
        <f>F59</f>
        <v>0.01</v>
      </c>
    </row>
    <row r="56" spans="1:35" ht="25.2">
      <c r="A56" s="3270" t="s">
        <v>1363</v>
      </c>
      <c r="B56" s="3271"/>
      <c r="C56" s="3271"/>
      <c r="D56" s="12">
        <f ca="1">IF(H56="个人住宅",D57,D58)</f>
        <v>0</v>
      </c>
      <c r="E56" s="1256" t="s">
        <v>1364</v>
      </c>
      <c r="F56" s="2338" t="str">
        <f>IF(H56="正常",F58,"免征")</f>
        <v>——</v>
      </c>
      <c r="G56" s="2341" t="s">
        <v>1365</v>
      </c>
      <c r="H56" s="2342" t="s">
        <v>3456</v>
      </c>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39"/>
      <c r="H57" s="2343"/>
      <c r="I57" s="1670"/>
      <c r="J57" s="3320">
        <f>IF(AND(J55="",J56=""),4,IF(项目基本情况!K6="上海银行",结果表!J56+1,结果表!J55+1))</f>
        <v>5</v>
      </c>
      <c r="K57" s="3320" t="s">
        <v>1367</v>
      </c>
      <c r="L57" s="2315" t="s">
        <v>1368</v>
      </c>
      <c r="M57" s="2316"/>
      <c r="N57" s="2317">
        <f ca="1">SUMIF(M52:M56,"&lt;9e307")</f>
        <v>2</v>
      </c>
      <c r="O57" s="2318"/>
      <c r="P57" s="2462" t="e">
        <f ca="1">N57/M49</f>
        <v>#VALUE!</v>
      </c>
    </row>
    <row r="58" spans="1:35" ht="25.2">
      <c r="A58" s="2153" t="s">
        <v>1352</v>
      </c>
      <c r="B58" s="3281" t="s">
        <v>1369</v>
      </c>
      <c r="C58" s="3255"/>
      <c r="D58" s="12">
        <f ca="1">IF(H58="转让取得",C81,C97)</f>
        <v>0</v>
      </c>
      <c r="E58" s="1256" t="s">
        <v>1364</v>
      </c>
      <c r="F58" s="294" t="s">
        <v>28</v>
      </c>
      <c r="G58" s="2339"/>
      <c r="H58" s="2342" t="s">
        <v>3457</v>
      </c>
      <c r="I58" s="1670"/>
      <c r="J58" s="3320"/>
      <c r="K58" s="3320"/>
      <c r="L58" s="2315" t="s">
        <v>1370</v>
      </c>
      <c r="M58" s="2319"/>
      <c r="N58" s="2320" t="str">
        <f ca="1">NUMBERSTRING(INT(N57*10000),2)&amp;"元整"</f>
        <v>贰万元整</v>
      </c>
      <c r="O58" s="2321"/>
    </row>
    <row r="59" spans="1:35" ht="27" thickBot="1">
      <c r="A59" s="3323" t="s">
        <v>1371</v>
      </c>
      <c r="B59" s="3324"/>
      <c r="C59" s="3324"/>
      <c r="D59" s="2344">
        <f ca="1">IF(H59="非个人房产","——",IF(H59="个人住宅（满五唯一有凭证）",0,IF(H59="个人其他（无凭证）",ROUND(D45*F59,0),ROUND(C67*F59,0))))</f>
        <v>2</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8" t="s">
        <v>3458</v>
      </c>
      <c r="I59" s="2137" t="s">
        <v>2135</v>
      </c>
      <c r="J59" s="3321">
        <f>J57+1</f>
        <v>6</v>
      </c>
      <c r="K59" s="3320" t="s">
        <v>1372</v>
      </c>
      <c r="L59" s="2308" t="s">
        <v>1368</v>
      </c>
      <c r="M59" s="2322"/>
      <c r="N59" s="2323" t="e">
        <f ca="1">M49-N57</f>
        <v>#VALUE!</v>
      </c>
      <c r="O59" s="2324"/>
    </row>
    <row r="60" spans="1:35" ht="12" customHeight="1">
      <c r="A60" s="1671"/>
      <c r="B60" s="646"/>
      <c r="C60" s="646"/>
      <c r="D60" s="646"/>
      <c r="E60" s="1466"/>
      <c r="F60" s="1670"/>
      <c r="G60" s="1670"/>
      <c r="H60" s="151"/>
      <c r="I60" s="121"/>
      <c r="J60" s="3322"/>
      <c r="K60" s="3320"/>
      <c r="L60" s="2315" t="s">
        <v>1370</v>
      </c>
      <c r="M60" s="2319"/>
      <c r="N60" s="2320" t="e">
        <f ca="1">NUMBERSTRING(INT(N59*10000),2)&amp;"元整"</f>
        <v>#VALUE!</v>
      </c>
      <c r="O60" s="2321"/>
    </row>
    <row r="61" spans="1:35" ht="13.8" thickBot="1">
      <c r="A61" s="3268" t="s">
        <v>1373</v>
      </c>
      <c r="B61" s="3268"/>
      <c r="C61" s="3268"/>
      <c r="D61" s="3268"/>
      <c r="E61" s="3268"/>
      <c r="F61" s="1670"/>
      <c r="G61" s="1670"/>
      <c r="H61" s="151"/>
      <c r="I61" s="121"/>
      <c r="J61" s="2308">
        <f>J59+1</f>
        <v>7</v>
      </c>
      <c r="K61" s="3320" t="s">
        <v>1374</v>
      </c>
      <c r="L61" s="3320"/>
      <c r="M61" s="2325"/>
      <c r="N61" s="2326" t="e">
        <f ca="1">ROUND(N59*10000/'数据-汇总表'!E3,0)</f>
        <v>#VALUE!</v>
      </c>
      <c r="O61" s="2327"/>
    </row>
    <row r="62" spans="1:35" ht="13.2">
      <c r="A62" s="3286" t="s">
        <v>1375</v>
      </c>
      <c r="B62" s="3287"/>
      <c r="C62" s="1865"/>
      <c r="D62" s="1865" t="s">
        <v>1376</v>
      </c>
      <c r="E62" s="158" t="s">
        <v>1377</v>
      </c>
      <c r="F62" s="1670"/>
      <c r="G62" s="1670"/>
      <c r="H62" s="151"/>
      <c r="I62" s="121"/>
    </row>
    <row r="63" spans="1:35" ht="13.2">
      <c r="A63" s="165" t="s">
        <v>330</v>
      </c>
      <c r="B63" s="159" t="s">
        <v>1378</v>
      </c>
      <c r="C63" s="2348">
        <f ca="1">ROUND((C64+C65)/(1+'数据-取费表'!C42),0)</f>
        <v>146</v>
      </c>
      <c r="D63" s="159"/>
      <c r="E63" s="160"/>
      <c r="F63" s="1670"/>
      <c r="G63" s="1670"/>
      <c r="H63" s="151"/>
      <c r="I63" s="121"/>
      <c r="J63" s="3345"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153</v>
      </c>
      <c r="D64" s="162" t="s">
        <v>26</v>
      </c>
      <c r="E64" s="164"/>
      <c r="F64" s="1670"/>
      <c r="G64" s="1670"/>
      <c r="H64" s="151"/>
      <c r="I64" s="121"/>
      <c r="J64" s="334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f ca="1">H101/1.05</f>
        <v>145.71428571428569</v>
      </c>
      <c r="D66" s="166" t="s">
        <v>26</v>
      </c>
      <c r="E66" s="1251" t="s">
        <v>671</v>
      </c>
      <c r="F66" s="1670"/>
      <c r="G66" s="1670"/>
      <c r="H66" s="151"/>
      <c r="I66" s="121"/>
      <c r="J66" s="3345"/>
      <c r="K66" s="1245" t="s">
        <v>1387</v>
      </c>
      <c r="L66" s="1245" t="e">
        <f>M49*0.5%</f>
        <v>#VALUE!</v>
      </c>
      <c r="M66" s="294" t="e">
        <f>IF(L66&gt;0.5,0.5,ROUND(L66,0))</f>
        <v>#VALUE!</v>
      </c>
      <c r="N66" s="2329" t="s">
        <v>1388</v>
      </c>
      <c r="Z66" s="1623"/>
      <c r="AI66" s="1561"/>
    </row>
    <row r="67" spans="1:35" ht="14.25" customHeight="1">
      <c r="A67" s="165" t="s">
        <v>328</v>
      </c>
      <c r="B67" s="166" t="s">
        <v>1389</v>
      </c>
      <c r="C67" s="2352">
        <f ca="1">C63-C66</f>
        <v>0.28571428571430602</v>
      </c>
      <c r="D67" s="162" t="s">
        <v>26</v>
      </c>
      <c r="E67" s="164"/>
      <c r="F67" s="1670"/>
      <c r="G67" s="1670"/>
      <c r="H67" s="151"/>
      <c r="I67" s="121"/>
      <c r="J67" s="334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0</v>
      </c>
      <c r="D68" s="2354">
        <f>'数据-取费表'!B41</f>
        <v>5.6000000000000001E-2</v>
      </c>
      <c r="E68" s="170"/>
      <c r="F68" s="1670"/>
      <c r="G68" s="1670"/>
      <c r="H68" s="151"/>
      <c r="I68" s="121"/>
      <c r="J68" s="3345"/>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45"/>
      <c r="K69" s="1245" t="s">
        <v>1393</v>
      </c>
      <c r="L69" s="1245"/>
      <c r="M69" s="294" t="e">
        <f>ROUND(SUM(M63:M68),0)</f>
        <v>#VALUE!</v>
      </c>
      <c r="N69" s="2330" t="e">
        <f>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146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151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 ca="1">ROUND(IF(G77="2016年5月1日后购买",C75/(1+'数据-取费表'!C42)+C76+C77,C75+C76+C77),0)</f>
        <v>150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 ca="1">H101/1.05</f>
        <v>145.71428571428569</v>
      </c>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 ca="1">ROUND(IF(G77="个人住宅",0,IF(G77="2016年5月1日前购买",C75*D77,C75*D77/(1+'数据-取费表'!C42))),0)</f>
        <v>4</v>
      </c>
      <c r="D77" s="2359">
        <f>'数据-取费表'!B48+'数据-取费表'!B49</f>
        <v>3.0499999999999999E-2</v>
      </c>
      <c r="E77" s="12" t="s">
        <v>1404</v>
      </c>
      <c r="F77" s="178"/>
      <c r="G77" s="1682" t="s">
        <v>3483</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146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47" t="s">
        <v>2127</v>
      </c>
      <c r="H90" s="3348"/>
      <c r="I90" s="1681"/>
      <c r="J90" s="2306"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5" t="s">
        <v>1422</v>
      </c>
      <c r="F92" s="3266"/>
      <c r="G92" s="3266"/>
      <c r="H92" s="3275"/>
      <c r="I92" s="1681"/>
      <c r="J92" s="2307"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145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87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成本法</v>
      </c>
      <c r="D101" s="2370" t="str">
        <f>D4</f>
        <v>收益法</v>
      </c>
      <c r="E101" s="3342" t="s">
        <v>1431</v>
      </c>
      <c r="F101" s="3299"/>
      <c r="G101" s="1687" t="s">
        <v>1432</v>
      </c>
      <c r="H101" s="2379">
        <f ca="1">H118</f>
        <v>153</v>
      </c>
      <c r="I101" s="121"/>
    </row>
    <row r="102" spans="1:35" ht="18.75" customHeight="1">
      <c r="A102" s="3301" t="s">
        <v>1433</v>
      </c>
      <c r="B102" s="2368" t="s">
        <v>1432</v>
      </c>
      <c r="C102" s="2369">
        <f ca="1">IF(D32="楼面单价",ROUND(C19,0),C19)</f>
        <v>204</v>
      </c>
      <c r="D102" s="2370">
        <f ca="1">IF(D32="楼面单价",ROUND(D19,0),D19)</f>
        <v>77</v>
      </c>
      <c r="E102" s="3342"/>
      <c r="F102" s="3299"/>
      <c r="G102" s="1687" t="s">
        <v>1434</v>
      </c>
      <c r="H102" s="2339">
        <f ca="1">I118</f>
        <v>8977</v>
      </c>
      <c r="I102" s="121"/>
    </row>
    <row r="103" spans="1:35" ht="42.75" customHeight="1">
      <c r="A103" s="3301"/>
      <c r="B103" s="2368" t="s">
        <v>1434</v>
      </c>
      <c r="C103" s="2371">
        <f ca="1">C20</f>
        <v>11953</v>
      </c>
      <c r="D103" s="2372">
        <f ca="1">D20</f>
        <v>4512</v>
      </c>
      <c r="E103" s="3336" t="s">
        <v>1435</v>
      </c>
      <c r="F103" s="3337"/>
      <c r="G103" s="1688" t="s">
        <v>1436</v>
      </c>
      <c r="H103" s="2379">
        <f>IF(D36="正常操作",H104+H105+H106,H105+H106)</f>
        <v>0</v>
      </c>
      <c r="I103" s="121"/>
    </row>
    <row r="104" spans="1:35" ht="18.75" customHeight="1">
      <c r="A104" s="3301" t="s">
        <v>1437</v>
      </c>
      <c r="B104" s="2373" t="s">
        <v>1432</v>
      </c>
      <c r="C104" s="2374">
        <f ca="1">H118</f>
        <v>153</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f ca="1">I118</f>
        <v>8977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8" t="str">
        <f>IF(项目基本情况!E8="已注销","——","3.房地产抵押价值")</f>
        <v>3.房地产抵押价值</v>
      </c>
      <c r="F107" s="3299"/>
      <c r="G107" s="1687" t="s">
        <v>1432</v>
      </c>
      <c r="H107" s="2379">
        <f ca="1">IF(E107="——","——",H101-H103)</f>
        <v>153</v>
      </c>
      <c r="I107" s="121"/>
    </row>
    <row r="108" spans="1:35" ht="18.75" customHeight="1">
      <c r="A108" s="121"/>
      <c r="B108" s="121"/>
      <c r="C108" s="121"/>
      <c r="D108" s="121"/>
      <c r="E108" s="3298"/>
      <c r="F108" s="3299"/>
      <c r="G108" s="1687" t="s">
        <v>1434</v>
      </c>
      <c r="H108" s="2339">
        <f ca="1">IF(H107=H101,H102,ROUND(H107*10000/'数据-汇总表'!E3,0))</f>
        <v>8977</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298"/>
      <c r="F110" s="3299"/>
      <c r="G110" s="1687"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31"/>
      <c r="F112" s="3332"/>
      <c r="G112" s="1690"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4" t="str">
        <f>项目基本情况!S2</f>
        <v>北京市密云县阳光街783幢房地产</v>
      </c>
      <c r="B118" s="2150">
        <f>M18</f>
        <v>170.67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153</v>
      </c>
      <c r="I118" s="2150">
        <f ca="1">ROUND(IF(D32="楼面单价",C32,H118*10000/B118),0)</f>
        <v>8977</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壹佰伍拾叁万元整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153</v>
      </c>
      <c r="E122" s="3334"/>
      <c r="F122" s="3334"/>
      <c r="G122" s="3334"/>
      <c r="H122" s="3334"/>
      <c r="I122" s="3335"/>
      <c r="AA122" s="684"/>
    </row>
    <row r="123" spans="1:27" ht="18.75" customHeight="1">
      <c r="A123" s="3269" t="s">
        <v>1452</v>
      </c>
      <c r="B123" s="3269"/>
      <c r="C123" s="3269"/>
      <c r="D123" s="3309" t="str">
        <f ca="1">NUMBERSTRING(INT(D122*10000),2)&amp;"元整"</f>
        <v>壹佰伍拾叁万元整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v>15</v>
      </c>
      <c r="C1" s="190"/>
      <c r="D1" s="190"/>
      <c r="E1" s="190"/>
      <c r="F1" s="190"/>
      <c r="G1" s="1062">
        <f>MATCH(B1,'数据-取费表'!A6:A16,0)+5</f>
        <v>6</v>
      </c>
    </row>
    <row r="2" spans="1:9" s="192" customFormat="1" ht="18" customHeight="1">
      <c r="A2" s="193" t="s">
        <v>1462</v>
      </c>
      <c r="B2" s="194">
        <f ca="1">IF(D2="——",C52,C52-E2)</f>
        <v>204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11953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119</v>
      </c>
      <c r="D5" s="203" t="s">
        <v>1469</v>
      </c>
      <c r="E5" s="204" t="s">
        <v>1470</v>
      </c>
      <c r="F5" s="204" t="s">
        <v>1471</v>
      </c>
      <c r="G5" s="205"/>
    </row>
    <row r="6" spans="1:9" s="206" customFormat="1" ht="13.5" customHeight="1">
      <c r="A6" s="732" t="s">
        <v>1472</v>
      </c>
      <c r="B6" s="207" t="s">
        <v>1473</v>
      </c>
      <c r="C6" s="208">
        <f>基准地价修正!V2+基准地价修正!V3+基准地价修正!V4</f>
        <v>113</v>
      </c>
      <c r="D6" s="209"/>
      <c r="E6" s="210"/>
      <c r="F6" s="210"/>
      <c r="G6" s="211"/>
    </row>
    <row r="7" spans="1:9" s="206" customFormat="1" ht="13.5" customHeight="1">
      <c r="A7" s="732" t="s">
        <v>1474</v>
      </c>
      <c r="B7" s="207" t="s">
        <v>1475</v>
      </c>
      <c r="C7" s="212">
        <f>ROUND(C6*F7,0)</f>
        <v>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v>
      </c>
      <c r="D8" s="214"/>
      <c r="E8" s="212"/>
      <c r="F8" s="213"/>
      <c r="G8" s="1714" t="s">
        <v>3422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3424</v>
      </c>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170.67</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170.67</v>
      </c>
      <c r="E19" s="203">
        <f>'数据-取费表'!B31</f>
        <v>200</v>
      </c>
      <c r="F19" s="223"/>
      <c r="G19" s="1714" t="s">
        <v>3423</v>
      </c>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12</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170.67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73</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53</v>
      </c>
      <c r="D51" s="224"/>
      <c r="E51" s="224"/>
      <c r="F51" s="256"/>
      <c r="G51" s="226" t="s">
        <v>1560</v>
      </c>
    </row>
    <row r="52" spans="1:7" s="200" customFormat="1" ht="16.8" thickBot="1">
      <c r="A52" s="257" t="s">
        <v>1561</v>
      </c>
      <c r="B52" s="258"/>
      <c r="C52" s="259">
        <f ca="1">C31+C51</f>
        <v>204</v>
      </c>
      <c r="D52" s="258"/>
      <c r="E52" s="258"/>
      <c r="F52" s="258"/>
      <c r="G52" s="260"/>
    </row>
    <row r="55" spans="1:7" ht="15">
      <c r="B55" s="262" t="s">
        <v>1562</v>
      </c>
      <c r="C55" s="263"/>
    </row>
    <row r="56" spans="1:7">
      <c r="B56" s="265" t="s">
        <v>802</v>
      </c>
      <c r="C56" s="267">
        <f ca="1">1-C57</f>
        <v>0.74</v>
      </c>
    </row>
    <row r="57" spans="1:7">
      <c r="B57" s="265" t="s">
        <v>803</v>
      </c>
      <c r="C57" s="266">
        <f ca="1">ROUND(C51/C52,3)</f>
        <v>0.26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北京市密云县阳光街783幢预评估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0" width="12" style="1845"/>
    <col min="21" max="21" width="14.88671875" style="1845" bestFit="1" customWidth="1"/>
    <col min="22"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170.67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113</v>
      </c>
      <c r="C2" s="1846" t="s">
        <v>1935</v>
      </c>
      <c r="D2" s="162" t="s">
        <v>1936</v>
      </c>
      <c r="E2" s="3116"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8259</v>
      </c>
      <c r="U2" s="1130">
        <f>ROUND('数据-汇总表'!E19/3,2)</f>
        <v>56.89</v>
      </c>
      <c r="V2" s="3061">
        <f>ROUND(T2*U2/10000,0)</f>
        <v>47</v>
      </c>
      <c r="W2" s="1133"/>
      <c r="X2" s="1133"/>
      <c r="Y2" s="1133"/>
      <c r="Z2" s="1133"/>
      <c r="AA2" s="1133"/>
      <c r="AB2" s="1133"/>
      <c r="AC2" s="1134"/>
      <c r="AD2" s="1135"/>
      <c r="AE2" s="1135"/>
      <c r="AF2" s="1135"/>
      <c r="AG2" s="1135"/>
      <c r="AH2" s="1135"/>
      <c r="AI2" s="1135"/>
      <c r="AJ2" s="1136"/>
    </row>
    <row r="3" spans="1:36" ht="15.6">
      <c r="A3" s="195" t="s">
        <v>1940</v>
      </c>
      <c r="B3" s="196">
        <f>ROUND(B2*10000/D1,0)</f>
        <v>6621</v>
      </c>
      <c r="C3" s="1846" t="s">
        <v>1941</v>
      </c>
      <c r="D3" s="162" t="s">
        <v>1942</v>
      </c>
      <c r="E3" s="3161" t="s">
        <v>2437</v>
      </c>
      <c r="F3" s="1848" t="s">
        <v>3447</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6366</v>
      </c>
      <c r="U3" s="1130">
        <f>U2</f>
        <v>56.89</v>
      </c>
      <c r="V3" s="3061">
        <f t="shared" ref="V3:V16" si="1">ROUND(T3*U3/10000,0)</f>
        <v>36</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5193</v>
      </c>
      <c r="U4" s="1130">
        <f>U2</f>
        <v>56.89</v>
      </c>
      <c r="V4" s="3061">
        <f t="shared" si="1"/>
        <v>30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6870</v>
      </c>
      <c r="D5" s="1252">
        <f>ROUND(C6*C17+C20,0)</f>
        <v>6870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4408</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4016</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1">
        <f t="shared" si="0"/>
        <v>0</v>
      </c>
      <c r="U7" s="1130"/>
      <c r="V7" s="3061">
        <f t="shared" si="1"/>
        <v>0</v>
      </c>
      <c r="W7" s="1267" t="s">
        <v>1955</v>
      </c>
      <c r="X7" s="1131" t="str">
        <f>G2</f>
        <v>八级</v>
      </c>
      <c r="Y7" s="1131" t="s">
        <v>1956</v>
      </c>
      <c r="Z7" s="1132">
        <f>G3</f>
        <v>2</v>
      </c>
      <c r="AA7" s="1133"/>
      <c r="AB7" s="1133"/>
      <c r="AC7" s="1134"/>
      <c r="AD7" s="1135"/>
      <c r="AE7" s="1135"/>
      <c r="AF7" s="1135"/>
      <c r="AG7" s="1135"/>
      <c r="AH7" s="1135"/>
      <c r="AI7" s="1135"/>
      <c r="AJ7" s="1136"/>
    </row>
    <row r="8" spans="1:36" ht="26.4">
      <c r="A8" s="3007"/>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6850</v>
      </c>
      <c r="N8" s="813">
        <f>SUMPRODUCT((因素修正幅度!B234:B276=I2)*(因素修正幅度!C3:G3=E2)*(因素修正幅度!C234:G276))</f>
        <v>0.1</v>
      </c>
      <c r="O8" s="1056"/>
      <c r="P8" s="1056"/>
      <c r="Q8" s="1056"/>
      <c r="R8" s="1129">
        <v>7</v>
      </c>
      <c r="S8" s="1130"/>
      <c r="T8" s="3061">
        <f t="shared" si="0"/>
        <v>0</v>
      </c>
      <c r="U8" s="1130"/>
      <c r="V8" s="3061">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4" t="s">
        <v>3252</v>
      </c>
      <c r="B20" s="159" t="s">
        <v>1994</v>
      </c>
      <c r="C20" s="3029">
        <f>ROUND(IF(F21="与级别开发程度一致",0,(G21-E21)/C21),0)</f>
        <v>20</v>
      </c>
      <c r="D20" s="3044" t="s">
        <v>1998</v>
      </c>
      <c r="E20" s="3045"/>
      <c r="F20" s="3470" t="s">
        <v>1995</v>
      </c>
      <c r="G20" s="3471"/>
      <c r="H20" s="3030" t="s">
        <v>3439</v>
      </c>
      <c r="I20" s="3030" t="s">
        <v>3440</v>
      </c>
      <c r="J20" s="3031" t="s">
        <v>3441</v>
      </c>
      <c r="K20" s="1889" t="s">
        <v>3442</v>
      </c>
      <c r="L20" s="1889" t="s">
        <v>3443</v>
      </c>
      <c r="M20" s="1889" t="s">
        <v>3444</v>
      </c>
      <c r="N20" s="1889" t="s">
        <v>3445</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3438</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10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45806</v>
      </c>
      <c r="H23" s="3046" t="s">
        <v>3253</v>
      </c>
      <c r="I23" s="3047" t="str">
        <f>IF(H23="季度增幅（自定义）",SUMIF(N25:N28,E2,O25:O28),"")</f>
        <v/>
      </c>
      <c r="J23" s="3137" t="s">
        <v>3437</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0.74480000000000002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3482</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3255</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1.0315000000000001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113</v>
      </c>
      <c r="D30" s="1925"/>
      <c r="E30" s="1842"/>
      <c r="F30" s="1926"/>
      <c r="G30" s="1842"/>
      <c r="H30" s="1842"/>
      <c r="I30" s="1842"/>
      <c r="J30" s="1927"/>
      <c r="K30" s="1056"/>
      <c r="L30" s="3053" t="s">
        <v>1936</v>
      </c>
      <c r="M30" s="3054" t="s">
        <v>1990</v>
      </c>
      <c r="N30" s="3054" t="s">
        <v>1991</v>
      </c>
      <c r="O30" s="3054" t="s">
        <v>1992</v>
      </c>
      <c r="P30" s="3054" t="s">
        <v>1993</v>
      </c>
      <c r="Q30" s="3057"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f>'数据-汇总表'!E19</f>
        <v>170.67</v>
      </c>
      <c r="E33" s="727">
        <f>ROUND(C33*D33/10000,0)</f>
        <v>0</v>
      </c>
      <c r="F33" s="3048" t="s">
        <v>3257</v>
      </c>
      <c r="G33" s="1941"/>
      <c r="H33" s="1941"/>
      <c r="I33" s="1941"/>
      <c r="J33" s="1942"/>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38">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f>ROUND(D5*C22*C23*C24*C28*F37,0)</f>
        <v>2678</v>
      </c>
      <c r="D37" s="1940"/>
      <c r="E37" s="163">
        <f>ROUND(C37*D37/10000,0)</f>
        <v>0</v>
      </c>
      <c r="F37" s="163">
        <f>SUMIF(修正!A57:A68,G2,修正!B57:B68)</f>
        <v>0.5</v>
      </c>
      <c r="G37" s="163">
        <f>ROUND(IF(E2="工业",C37*$M$42,C37*$M$41),0)</f>
        <v>670</v>
      </c>
      <c r="H37" s="163">
        <f>D37</f>
        <v>0</v>
      </c>
      <c r="I37" s="163">
        <f>ROUND(G37*H37/10000,0)</f>
        <v>0</v>
      </c>
      <c r="J37" s="2752"/>
      <c r="K37" s="3059" t="s">
        <v>3263</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f>ROUND(D5*C22*C23*C24*C28*F38,0)</f>
        <v>1071</v>
      </c>
      <c r="D38" s="1940"/>
      <c r="E38" s="163">
        <f t="shared" ref="E38:E42" si="4">ROUND(C38*D38/10000,0)</f>
        <v>0</v>
      </c>
      <c r="F38" s="163">
        <f>SUMIF(修正!A57:A68,G2,修正!C57:C68)</f>
        <v>0.2</v>
      </c>
      <c r="G38" s="163">
        <f>ROUND(IF(E2="工业",C38*$M$42,C38*$M$41),0)</f>
        <v>268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3256</v>
      </c>
      <c r="C39" s="167">
        <f>ROUND(D5*C22*C23*C24*C28*F39,0)</f>
        <v>1071</v>
      </c>
      <c r="D39" s="1940"/>
      <c r="E39" s="163">
        <f t="shared" si="4"/>
        <v>0</v>
      </c>
      <c r="F39" s="163">
        <f>SUMIF(修正!A57:A68,G2,修正!D57:D68)</f>
        <v>0.2</v>
      </c>
      <c r="G39" s="163">
        <f>ROUND(IF(E2="工业",C39*$M$42,C39*$M$41),0)</f>
        <v>268</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1071</v>
      </c>
      <c r="D40" s="1940"/>
      <c r="E40" s="163">
        <f t="shared" si="4"/>
        <v>0</v>
      </c>
      <c r="F40" s="167">
        <f>SUMIF(修正!A57:A68,G2,修正!E57:E68)</f>
        <v>0.2</v>
      </c>
      <c r="G40" s="163">
        <f>ROUND(IF(E2="工业",C40*$M$42,C40*$M$41),0)</f>
        <v>268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0"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1.0315000000000001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3448</v>
      </c>
      <c r="D50" s="1002">
        <f t="shared" ref="D50:D58" si="7">SUMIF($J$49:$N$49,C50,J50:N50)</f>
        <v>1.4999999999999999E-2</v>
      </c>
      <c r="E50" s="702">
        <f>ROUND(SUM(D50:D58),4)</f>
        <v>3.15E-2</v>
      </c>
      <c r="F50" s="1675">
        <f>IF(E2="商业",SUMIF(L1:L12,G2,N1:N12),"——")</f>
        <v>0.1</v>
      </c>
      <c r="G50" s="1000">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3448</v>
      </c>
      <c r="D51" s="1002">
        <f t="shared" si="7"/>
        <v>1.0999999999999999E-2</v>
      </c>
      <c r="E51" s="703"/>
      <c r="F51" s="1675"/>
      <c r="G51" s="1000">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8" t="s">
        <v>3266</v>
      </c>
      <c r="B52" s="1262">
        <f>估价对象房地状况!C19</f>
        <v>0</v>
      </c>
      <c r="C52" s="1887" t="s">
        <v>3448</v>
      </c>
      <c r="D52" s="1002">
        <f t="shared" si="7"/>
        <v>6.0000000000000001E-3</v>
      </c>
      <c r="E52" s="703"/>
      <c r="F52" s="1675"/>
      <c r="G52" s="1000">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3449</v>
      </c>
      <c r="D53" s="1002">
        <f t="shared" si="7"/>
        <v>0</v>
      </c>
      <c r="E53" s="703"/>
      <c r="F53" s="1675"/>
      <c r="G53" s="1000">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3450</v>
      </c>
      <c r="D54" s="1002">
        <f t="shared" si="7"/>
        <v>-8.0000000000000002E-3</v>
      </c>
      <c r="E54" s="703"/>
      <c r="F54" s="1675"/>
      <c r="G54" s="1000">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3448</v>
      </c>
      <c r="D55" s="1002">
        <f t="shared" si="7"/>
        <v>2.5000000000000001E-3</v>
      </c>
      <c r="E55" s="703"/>
      <c r="F55" s="1675"/>
      <c r="G55" s="1000">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3448</v>
      </c>
      <c r="D56" s="1002">
        <f t="shared" si="7"/>
        <v>2.5000000000000001E-3</v>
      </c>
      <c r="E56" s="703"/>
      <c r="F56" s="1675"/>
      <c r="G56" s="1000">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3449</v>
      </c>
      <c r="D57" s="1002">
        <f t="shared" si="7"/>
        <v>0</v>
      </c>
      <c r="E57" s="703"/>
      <c r="F57" s="1675"/>
      <c r="G57" s="1000">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3448</v>
      </c>
      <c r="D58" s="1002">
        <f t="shared" si="7"/>
        <v>2.5000000000000001E-3</v>
      </c>
      <c r="E58" s="704"/>
      <c r="F58" s="1675"/>
      <c r="G58" s="1000">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3266</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3266</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3267</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3268</v>
      </c>
      <c r="B92" s="2308"/>
      <c r="C92" s="2308" t="s">
        <v>3277</v>
      </c>
      <c r="D92" s="2308" t="s">
        <v>3278</v>
      </c>
      <c r="E92" s="3050" t="s">
        <v>3279</v>
      </c>
      <c r="F92" s="3080" t="s">
        <v>3280</v>
      </c>
      <c r="G92" s="2308" t="s">
        <v>3281</v>
      </c>
      <c r="H92" s="3087" t="s">
        <v>3284</v>
      </c>
      <c r="I92" s="2308" t="s">
        <v>3285</v>
      </c>
      <c r="J92" s="2150" t="s">
        <v>3286</v>
      </c>
      <c r="K92" s="2150" t="s">
        <v>3287</v>
      </c>
      <c r="L92" s="2150" t="s">
        <v>3288</v>
      </c>
      <c r="M92" s="2150" t="s">
        <v>3289</v>
      </c>
      <c r="N92" s="2150" t="s">
        <v>3290</v>
      </c>
    </row>
    <row r="93" spans="1:37" ht="24">
      <c r="A93" s="3068" t="s">
        <v>3269</v>
      </c>
      <c r="B93" s="1221"/>
      <c r="C93" s="1887"/>
      <c r="D93" s="2308">
        <f>SUMIF($J$92:$N$92,C93,J93:N93)</f>
        <v>0</v>
      </c>
      <c r="E93" s="3081">
        <f>ROUND(SUM(D93:D101),4)</f>
        <v>0</v>
      </c>
      <c r="F93" s="1675" t="str">
        <f>IF(E2="公共服务",SUMIF(L1:L12,G2,N1:N12),"——")</f>
        <v>——</v>
      </c>
      <c r="G93" s="3072"/>
      <c r="H93" s="3115"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3270</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5" t="str">
        <f>IFERROR(ROUNDDOWN($F$93*I94/2,4),"——")</f>
        <v>——</v>
      </c>
      <c r="I94" s="3066">
        <v>0.26</v>
      </c>
      <c r="J94" s="1912">
        <f t="shared" si="27"/>
        <v>0</v>
      </c>
      <c r="K94" s="1912">
        <f t="shared" si="28"/>
        <v>0</v>
      </c>
      <c r="L94" s="1912">
        <v>0</v>
      </c>
      <c r="M94" s="1912">
        <f t="shared" si="29"/>
        <v>0</v>
      </c>
      <c r="N94" s="1912">
        <f t="shared" si="29"/>
        <v>0</v>
      </c>
    </row>
    <row r="95" spans="1:37" ht="48">
      <c r="A95" s="3068" t="s">
        <v>3266</v>
      </c>
      <c r="B95" s="3069">
        <f>估价对象房地状况!C19</f>
        <v>0</v>
      </c>
      <c r="C95" s="1887"/>
      <c r="D95" s="2308">
        <f t="shared" si="30"/>
        <v>0</v>
      </c>
      <c r="E95" s="3082"/>
      <c r="F95" s="1675"/>
      <c r="G95" s="3072"/>
      <c r="H95" s="3115"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3271</v>
      </c>
      <c r="B96" s="3084" t="s">
        <v>3282</v>
      </c>
      <c r="C96" s="1887"/>
      <c r="D96" s="2308">
        <f t="shared" si="30"/>
        <v>0</v>
      </c>
      <c r="E96" s="3082"/>
      <c r="F96" s="1675"/>
      <c r="G96" s="3072"/>
      <c r="H96" s="3115" t="str">
        <f t="shared" si="31"/>
        <v>——</v>
      </c>
      <c r="I96" s="3066">
        <v>0.05</v>
      </c>
      <c r="J96" s="1912">
        <f t="shared" si="27"/>
        <v>0</v>
      </c>
      <c r="K96" s="1912">
        <f t="shared" si="28"/>
        <v>0</v>
      </c>
      <c r="L96" s="1912">
        <v>0</v>
      </c>
      <c r="M96" s="1912">
        <f t="shared" si="29"/>
        <v>0</v>
      </c>
      <c r="N96" s="1912">
        <f t="shared" si="29"/>
        <v>0</v>
      </c>
    </row>
    <row r="97" spans="1:14" ht="24">
      <c r="A97" s="3078" t="s">
        <v>3272</v>
      </c>
      <c r="B97" s="3069">
        <f>估价对象房地状况!C24</f>
        <v>0</v>
      </c>
      <c r="C97" s="1887"/>
      <c r="D97" s="2308">
        <f t="shared" si="30"/>
        <v>0</v>
      </c>
      <c r="E97" s="3082"/>
      <c r="F97" s="1675"/>
      <c r="G97" s="3072"/>
      <c r="H97" s="3115" t="str">
        <f t="shared" si="31"/>
        <v>——</v>
      </c>
      <c r="I97" s="3066">
        <v>0.05</v>
      </c>
      <c r="J97" s="1912">
        <f t="shared" si="27"/>
        <v>0</v>
      </c>
      <c r="K97" s="1912">
        <f t="shared" si="28"/>
        <v>0</v>
      </c>
      <c r="L97" s="1912">
        <v>0</v>
      </c>
      <c r="M97" s="1912">
        <f t="shared" si="29"/>
        <v>0</v>
      </c>
      <c r="N97" s="1912">
        <f t="shared" si="29"/>
        <v>0</v>
      </c>
    </row>
    <row r="98" spans="1:14" ht="36">
      <c r="A98" s="3078" t="s">
        <v>3273</v>
      </c>
      <c r="B98" s="3085" t="s">
        <v>3283</v>
      </c>
      <c r="C98" s="1887"/>
      <c r="D98" s="2308">
        <f t="shared" si="30"/>
        <v>0</v>
      </c>
      <c r="E98" s="3082"/>
      <c r="F98" s="1675"/>
      <c r="G98" s="3072"/>
      <c r="H98" s="3115" t="str">
        <f t="shared" si="31"/>
        <v>——</v>
      </c>
      <c r="I98" s="3066">
        <v>0.06</v>
      </c>
      <c r="J98" s="1912">
        <f t="shared" si="27"/>
        <v>0</v>
      </c>
      <c r="K98" s="1912">
        <f t="shared" si="28"/>
        <v>0</v>
      </c>
      <c r="L98" s="1912">
        <v>0</v>
      </c>
      <c r="M98" s="1912">
        <f t="shared" si="29"/>
        <v>0</v>
      </c>
      <c r="N98" s="1912">
        <f t="shared" si="29"/>
        <v>0</v>
      </c>
    </row>
    <row r="99" spans="1:14" ht="26.4">
      <c r="A99" s="3078" t="s">
        <v>3274</v>
      </c>
      <c r="B99" s="3069" t="str">
        <f>估价对象房地状况!C21</f>
        <v>估价对象所在区域公共配套设施齐备情况</v>
      </c>
      <c r="C99" s="1887"/>
      <c r="D99" s="2308">
        <f t="shared" si="30"/>
        <v>0</v>
      </c>
      <c r="E99" s="3082"/>
      <c r="F99" s="1675"/>
      <c r="G99" s="3072"/>
      <c r="H99" s="3115" t="str">
        <f t="shared" si="31"/>
        <v>——</v>
      </c>
      <c r="I99" s="3066">
        <v>0.06</v>
      </c>
      <c r="J99" s="1912">
        <f t="shared" si="27"/>
        <v>0</v>
      </c>
      <c r="K99" s="1912">
        <f t="shared" si="28"/>
        <v>0</v>
      </c>
      <c r="L99" s="1912">
        <v>0</v>
      </c>
      <c r="M99" s="1912">
        <f t="shared" si="29"/>
        <v>0</v>
      </c>
      <c r="N99" s="1912">
        <f t="shared" si="29"/>
        <v>0</v>
      </c>
    </row>
    <row r="100" spans="1:14" ht="26.4">
      <c r="A100" s="3078" t="s">
        <v>3275</v>
      </c>
      <c r="B100" s="3069" t="str">
        <f>估价对象房地状况!C22</f>
        <v>估价对象所在区域基础设施水平</v>
      </c>
      <c r="C100" s="1887"/>
      <c r="D100" s="2308">
        <f t="shared" si="30"/>
        <v>0</v>
      </c>
      <c r="E100" s="3082"/>
      <c r="F100" s="1675"/>
      <c r="G100" s="3072"/>
      <c r="H100" s="3115"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3276</v>
      </c>
      <c r="B101" s="3086" t="str">
        <f>估价对象房地状况!C20</f>
        <v>区域自然环境：；人文环境；综合评价环境状况一般</v>
      </c>
      <c r="C101" s="1887"/>
      <c r="D101" s="2308">
        <f t="shared" si="30"/>
        <v>0</v>
      </c>
      <c r="E101" s="3083"/>
      <c r="F101" s="1675"/>
      <c r="G101" s="3072"/>
      <c r="H101" s="3115" t="str">
        <f t="shared" si="31"/>
        <v>——</v>
      </c>
      <c r="I101" s="3067">
        <v>7.0000000000000007E-2</v>
      </c>
      <c r="J101" s="1912">
        <f t="shared" si="27"/>
        <v>0</v>
      </c>
      <c r="K101" s="1912">
        <f t="shared" si="28"/>
        <v>0</v>
      </c>
      <c r="L101" s="1912">
        <v>0</v>
      </c>
      <c r="M101" s="1912">
        <f t="shared" si="29"/>
        <v>0</v>
      </c>
      <c r="N101" s="1912">
        <f t="shared" si="29"/>
        <v>0</v>
      </c>
    </row>
    <row r="103" spans="1:14">
      <c r="A103" s="3466" t="s">
        <v>3291</v>
      </c>
      <c r="B103" s="3466"/>
      <c r="C103" s="3466"/>
      <c r="D103" s="3466"/>
      <c r="E103" s="3466"/>
      <c r="F103" s="3466"/>
      <c r="G103" s="3466"/>
      <c r="H103" s="3466"/>
      <c r="I103" s="3466"/>
      <c r="J103" s="3466"/>
      <c r="K103" s="1667"/>
      <c r="L103" s="1667"/>
      <c r="M103" s="1667"/>
      <c r="N103" s="1667"/>
    </row>
    <row r="104" spans="1:14">
      <c r="A104" s="3467" t="s">
        <v>3292</v>
      </c>
      <c r="B104" s="3467" t="s">
        <v>3293</v>
      </c>
      <c r="C104" s="3088" t="s">
        <v>3294</v>
      </c>
      <c r="D104" s="3089"/>
      <c r="E104" s="3089"/>
      <c r="F104" s="3089"/>
      <c r="G104" s="3089"/>
      <c r="H104" s="3089"/>
      <c r="I104" s="3089"/>
      <c r="J104" s="3090"/>
      <c r="K104" s="3091"/>
      <c r="L104" s="3091"/>
      <c r="M104" s="3091"/>
      <c r="N104" s="3091"/>
    </row>
    <row r="105" spans="1:14">
      <c r="A105" s="3467"/>
      <c r="B105" s="346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5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4"/>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6" t="s">
        <v>3308</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3309</v>
      </c>
      <c r="B116" s="3112">
        <f>G3</f>
        <v>2</v>
      </c>
      <c r="C116" s="3097" t="s">
        <v>3310</v>
      </c>
      <c r="D116" s="3098">
        <f>SUMPRODUCT((A118:A122=F116)*(B117:M117=H116)*B118:M122)</f>
        <v>0.81259999999999999</v>
      </c>
      <c r="E116" s="162" t="s">
        <v>3311</v>
      </c>
      <c r="F116" s="3099" t="str">
        <f>E2</f>
        <v>商业</v>
      </c>
      <c r="G116" s="162" t="s">
        <v>3312</v>
      </c>
      <c r="H116" s="3099" t="str">
        <f>G2</f>
        <v>八级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3326</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3327</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8" thickBot="1">
      <c r="A121" s="3108" t="s">
        <v>3328</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2610</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15</v>
      </c>
      <c r="D1" s="1271" t="s">
        <v>43</v>
      </c>
      <c r="E1" s="1272" t="s">
        <v>678</v>
      </c>
      <c r="F1" s="999">
        <f ca="1">J53</f>
        <v>20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77</v>
      </c>
      <c r="C2" s="1289" t="s">
        <v>805</v>
      </c>
      <c r="D2" s="1289"/>
      <c r="E2" s="1295"/>
      <c r="F2" s="1296"/>
      <c r="G2" s="2476"/>
      <c r="H2" s="2466"/>
      <c r="I2" s="2466"/>
      <c r="J2" s="2466"/>
      <c r="K2" s="2467"/>
      <c r="L2" s="2466"/>
      <c r="M2" s="2466"/>
    </row>
    <row r="3" spans="1:37" ht="18" customHeight="1" thickBot="1">
      <c r="A3" s="1297" t="s">
        <v>806</v>
      </c>
      <c r="B3" s="1298">
        <f ca="1">IF(ISERROR(B2*10000/F43),0,ROUND(B2*10000/F43,0))</f>
        <v>4512</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6</v>
      </c>
      <c r="D6" s="147" t="s">
        <v>2107</v>
      </c>
      <c r="E6" s="294" t="s">
        <v>696</v>
      </c>
      <c r="F6" s="295">
        <f ca="1">INDIRECT("'数据-取费表'!u"&amp;$G$1)</f>
        <v>1</v>
      </c>
      <c r="G6" s="1292"/>
      <c r="H6" s="1006" t="s">
        <v>398</v>
      </c>
      <c r="I6" s="3354" t="s">
        <v>694</v>
      </c>
      <c r="J6" s="293">
        <f ca="1">ROUND(M6*M8*M7*(1-M9)/10000,0)</f>
        <v>0</v>
      </c>
      <c r="K6" s="147" t="s">
        <v>2106</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170.67</v>
      </c>
      <c r="G7" s="1292"/>
      <c r="H7" s="296"/>
      <c r="I7" s="3355"/>
      <c r="J7" s="298"/>
      <c r="K7" s="299"/>
      <c r="L7" s="294" t="s">
        <v>697</v>
      </c>
      <c r="M7" s="295">
        <f ca="1">F7</f>
        <v>170.67</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3425</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53</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51</v>
      </c>
      <c r="D14" s="1257" t="s">
        <v>708</v>
      </c>
      <c r="E14" s="1255"/>
      <c r="F14" s="311"/>
      <c r="G14" s="1292"/>
      <c r="H14" s="928" t="s">
        <v>398</v>
      </c>
      <c r="I14" s="294" t="s">
        <v>709</v>
      </c>
      <c r="J14" s="21">
        <f ca="1">C29</f>
        <v>73</v>
      </c>
      <c r="K14" s="12"/>
      <c r="L14" s="759"/>
      <c r="M14" s="760"/>
    </row>
    <row r="15" spans="1:37" s="1304" customFormat="1" ht="18" customHeight="1" thickBot="1">
      <c r="A15" s="928" t="s">
        <v>399</v>
      </c>
      <c r="B15" s="294" t="s">
        <v>710</v>
      </c>
      <c r="C15" s="21">
        <f ca="1">ROUND(C14*F15,0)</f>
        <v>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58</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1</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0.73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6</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73</v>
      </c>
      <c r="D29" s="1029"/>
      <c r="E29" s="1027"/>
      <c r="F29" s="1030"/>
      <c r="G29" s="1303"/>
      <c r="H29" s="325" t="s">
        <v>396</v>
      </c>
      <c r="I29" s="326" t="s">
        <v>768</v>
      </c>
      <c r="J29" s="327">
        <f ca="1">ROUND(J26/(1+F40)^F41,0)</f>
        <v>0</v>
      </c>
      <c r="K29" s="328" t="s">
        <v>769</v>
      </c>
      <c r="L29" s="329"/>
      <c r="M29" s="330">
        <f ca="1">INDIRECT("'数据-取费表'!k"&amp;$G$1)</f>
        <v>170.67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0.4</v>
      </c>
      <c r="D31" s="1257" t="s">
        <v>720</v>
      </c>
      <c r="E31" s="1256" t="s">
        <v>770</v>
      </c>
      <c r="F31" s="2139">
        <f ca="1">IF(项目基本情况!B11="企业","——",IF(M47="住宅",IF(F6*F7*F8/12/(1+'数据-取费表'!F30)&gt;100000,4%,2.5%),IF(F6*F7*F8/12/(1+'数据-取费表'!F30)&gt;100000,12%,7%)))</f>
        <v>7.0000000000000007E-2</v>
      </c>
      <c r="G31" s="1292"/>
      <c r="H31" s="2567" t="s">
        <v>2304</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0.73</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0.05</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0.06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5</v>
      </c>
      <c r="D39" s="1032" t="s">
        <v>773</v>
      </c>
      <c r="E39" s="1033"/>
      <c r="F39" s="1034"/>
      <c r="G39" s="1292"/>
      <c r="H39" s="2471"/>
      <c r="I39" s="1305"/>
      <c r="J39" s="1306"/>
      <c r="K39" s="2469"/>
      <c r="L39" s="2471"/>
      <c r="M39" s="2471"/>
    </row>
    <row r="40" spans="1:18" ht="18" customHeight="1">
      <c r="A40" s="291" t="s">
        <v>395</v>
      </c>
      <c r="B40" s="292" t="s">
        <v>774</v>
      </c>
      <c r="C40" s="293">
        <f ca="1">ROUND(C39*(1-((1+F42)/(1+F40))^F41)/(F40-F42),0)</f>
        <v>70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f ca="1">C39/C5</f>
        <v>0.83333333333333337</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4101</v>
      </c>
      <c r="D43" s="328" t="s">
        <v>777</v>
      </c>
      <c r="E43" s="329" t="s">
        <v>778</v>
      </c>
      <c r="F43" s="330">
        <f ca="1">INDIRECT("'数据-取费表'!k"&amp;$G$1)</f>
        <v>170.67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-82</v>
      </c>
      <c r="D46" s="1313" t="str">
        <f>C2</f>
        <v>万元</v>
      </c>
      <c r="E46" s="1307"/>
      <c r="F46" s="1307"/>
      <c r="I46" s="1314" t="s">
        <v>810</v>
      </c>
      <c r="J46" s="1315"/>
      <c r="K46" s="1316"/>
      <c r="L46" s="1317">
        <f ca="1">IF(M47="住宅",0,IF(L48&gt;J51,L60,J60))</f>
        <v>7</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3452</v>
      </c>
      <c r="K47" s="1323" t="s">
        <v>816</v>
      </c>
      <c r="L47" s="1324">
        <f ca="1">INDIRECT("'数据-取费表'!d"&amp;$G$1)</f>
        <v>40</v>
      </c>
      <c r="M47" s="1288" t="str">
        <f>IF(ISNUMBER(FIND("住宅",C1)),"住宅","非住宅")</f>
        <v>非住宅</v>
      </c>
      <c r="O47" s="1325" t="s">
        <v>403</v>
      </c>
      <c r="P47" s="1326" t="s">
        <v>817</v>
      </c>
      <c r="Q47" s="1327">
        <f ca="1">C40+J29</f>
        <v>70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3426</v>
      </c>
      <c r="K48" s="1330" t="s">
        <v>820</v>
      </c>
      <c r="L48" s="1331">
        <f ca="1">INDIRECT("'数据-取费表'!f"&amp;$G$1)</f>
        <v>20</v>
      </c>
      <c r="O48" s="1325" t="s">
        <v>404</v>
      </c>
      <c r="P48" s="1326" t="s">
        <v>821</v>
      </c>
      <c r="Q48" s="1327">
        <f ca="1">J60</f>
        <v>7</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f>'数据-取费表'!N18</f>
        <v>2007</v>
      </c>
      <c r="K49" s="1330" t="s">
        <v>824</v>
      </c>
      <c r="L49" s="1333"/>
      <c r="O49" s="1334" t="s">
        <v>405</v>
      </c>
      <c r="P49" s="1326" t="s">
        <v>825</v>
      </c>
      <c r="Q49" s="1327">
        <f ca="1">C29</f>
        <v>73</v>
      </c>
      <c r="R49" s="1327" t="s">
        <v>818</v>
      </c>
    </row>
    <row r="50" spans="1:18" s="1292" customFormat="1" ht="13.8" thickBot="1">
      <c r="A50" s="922"/>
      <c r="B50" s="925"/>
      <c r="C50" s="1055"/>
      <c r="D50" s="899"/>
      <c r="E50" s="993" t="s">
        <v>697</v>
      </c>
      <c r="F50" s="994">
        <f ca="1">F7</f>
        <v>170.67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32</v>
      </c>
      <c r="K51" s="1339" t="s">
        <v>830</v>
      </c>
      <c r="L51" s="1340">
        <f ca="1">ROUND(-PV(INDIRECT("'数据-取费表'!h"&amp;$G$1),J51,(C39-C13*C76),0),0)</f>
        <v>20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20</v>
      </c>
      <c r="K53" s="3352" t="s">
        <v>837</v>
      </c>
      <c r="L53" s="3353"/>
      <c r="O53" s="1325" t="s">
        <v>409</v>
      </c>
      <c r="P53" s="1326" t="s">
        <v>838</v>
      </c>
      <c r="Q53" s="1327">
        <f ca="1">Q47+Q48</f>
        <v>77</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0.255</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53</v>
      </c>
      <c r="D56" s="1352"/>
      <c r="E56" s="1353"/>
      <c r="F56" s="1345"/>
      <c r="I56" s="1354" t="s">
        <v>842</v>
      </c>
      <c r="J56" s="1355" t="s">
        <v>3415</v>
      </c>
      <c r="K56" s="1328" t="s">
        <v>843</v>
      </c>
      <c r="L56" s="1331" t="str">
        <f ca="1">IF(L48&lt;J51,"——",L48-J53)</f>
        <v>——</v>
      </c>
      <c r="O56" s="1325" t="s">
        <v>403</v>
      </c>
      <c r="P56" s="1326" t="s">
        <v>817</v>
      </c>
      <c r="Q56" s="1327">
        <f ca="1">C40+J29</f>
        <v>70</v>
      </c>
      <c r="R56" s="1327" t="s">
        <v>818</v>
      </c>
    </row>
    <row r="57" spans="1:18" s="1292" customFormat="1" ht="24.6" thickBot="1">
      <c r="A57" s="1356"/>
      <c r="B57" s="896" t="s">
        <v>767</v>
      </c>
      <c r="C57" s="230">
        <f ca="1">C29</f>
        <v>73</v>
      </c>
      <c r="D57" s="1357"/>
      <c r="E57" s="1358"/>
      <c r="F57" s="1359"/>
      <c r="I57" s="1360" t="s">
        <v>844</v>
      </c>
      <c r="J57" s="1361">
        <f ca="1">IF(OR(M47="住宅",J51&lt;L48,J56="是"),"——",J51-L48)</f>
        <v>12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f ca="1">IF(OR(M47="住宅",J51&lt;L48,J56="是"),"0",ROUND(J59/(1+J52)^J53,0))</f>
        <v>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f ca="1">Q56+Q57</f>
        <v>70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0.73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0.05</v>
      </c>
      <c r="D65" s="910" t="s">
        <v>743</v>
      </c>
      <c r="E65" s="896" t="s">
        <v>744</v>
      </c>
      <c r="F65" s="321">
        <f t="shared" ca="1" si="0"/>
        <v>1E-3</v>
      </c>
      <c r="I65" s="1367" t="s">
        <v>867</v>
      </c>
      <c r="J65" s="610">
        <v>40</v>
      </c>
      <c r="K65" s="610">
        <v>30</v>
      </c>
      <c r="L65" s="610">
        <v>50</v>
      </c>
      <c r="M65" s="1369">
        <v>0.02</v>
      </c>
      <c r="O65" s="1325" t="s">
        <v>403</v>
      </c>
      <c r="P65" s="1326" t="s">
        <v>868</v>
      </c>
      <c r="Q65" s="1327">
        <f ca="1">C40+J29</f>
        <v>70</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v>
      </c>
      <c r="D67" s="909" t="s">
        <v>753</v>
      </c>
      <c r="E67" s="914"/>
      <c r="F67" s="915"/>
      <c r="O67" s="1334" t="s">
        <v>405</v>
      </c>
      <c r="P67" s="1326" t="s">
        <v>850</v>
      </c>
      <c r="Q67" s="1370">
        <f ca="1">L51</f>
        <v>20</v>
      </c>
      <c r="R67" s="1327" t="s">
        <v>870</v>
      </c>
    </row>
    <row r="68" spans="1:18" s="1292" customFormat="1" ht="16.2" thickBot="1">
      <c r="A68" s="893" t="s">
        <v>395</v>
      </c>
      <c r="B68" s="894" t="s">
        <v>774</v>
      </c>
      <c r="C68" s="293">
        <f ca="1">ROUND(C67*(1-((1+F70)/(1+F68))^F69)/(F68-F70),0)</f>
        <v>-12</v>
      </c>
      <c r="D68" s="911" t="s">
        <v>758</v>
      </c>
      <c r="E68" s="896" t="s">
        <v>759</v>
      </c>
      <c r="F68" s="304">
        <f ca="1">F40</f>
        <v>5.5E-2</v>
      </c>
      <c r="O68" s="1334" t="s">
        <v>406</v>
      </c>
      <c r="P68" s="1371" t="s">
        <v>871</v>
      </c>
      <c r="Q68" s="1327">
        <f ca="1">ROUND(Q69-Q70*Q71,0)</f>
        <v>1</v>
      </c>
      <c r="R68" s="1327" t="s">
        <v>414</v>
      </c>
    </row>
    <row r="69" spans="1:18" s="1292" customFormat="1" ht="13.8" thickBot="1">
      <c r="A69" s="897"/>
      <c r="B69" s="898"/>
      <c r="C69" s="298"/>
      <c r="D69" s="916" t="s">
        <v>762</v>
      </c>
      <c r="E69" s="896" t="s">
        <v>763</v>
      </c>
      <c r="F69" s="324">
        <f ca="1">F41</f>
        <v>20</v>
      </c>
      <c r="O69" s="1334" t="s">
        <v>411</v>
      </c>
      <c r="P69" s="1371" t="s">
        <v>872</v>
      </c>
      <c r="Q69" s="1327">
        <f ca="1">C39</f>
        <v>5</v>
      </c>
      <c r="R69" s="1327" t="s">
        <v>818</v>
      </c>
    </row>
    <row r="70" spans="1:18" s="1292" customFormat="1" ht="13.8" thickBot="1">
      <c r="A70" s="900"/>
      <c r="B70" s="901"/>
      <c r="C70" s="302"/>
      <c r="D70" s="912"/>
      <c r="E70" s="896" t="s">
        <v>766</v>
      </c>
      <c r="F70" s="991"/>
      <c r="O70" s="1334" t="s">
        <v>412</v>
      </c>
      <c r="P70" s="1371" t="s">
        <v>873</v>
      </c>
      <c r="Q70" s="1327">
        <f ca="1">C13</f>
        <v>53</v>
      </c>
      <c r="R70" s="1327" t="s">
        <v>818</v>
      </c>
    </row>
    <row r="71" spans="1:18" s="1292" customFormat="1" ht="13.8" thickBot="1">
      <c r="A71" s="917" t="s">
        <v>396</v>
      </c>
      <c r="B71" s="918" t="s">
        <v>776</v>
      </c>
      <c r="C71" s="327">
        <f ca="1">ROUND(C68*10000/F71,0)</f>
        <v>-703</v>
      </c>
      <c r="D71" s="919" t="s">
        <v>777</v>
      </c>
      <c r="E71" s="920" t="s">
        <v>778</v>
      </c>
      <c r="F71" s="330">
        <f ca="1">F43</f>
        <v>170.67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v>
      </c>
      <c r="D75" s="1292"/>
      <c r="E75" s="1292"/>
      <c r="F75" s="1292"/>
      <c r="K75" s="1309"/>
      <c r="L75" s="1292"/>
      <c r="O75" s="1325" t="s">
        <v>409</v>
      </c>
      <c r="P75" s="1326" t="s">
        <v>838</v>
      </c>
      <c r="Q75" s="1327">
        <f ca="1">Q65+Q66</f>
        <v>70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0.19999999999999996</v>
      </c>
    </row>
    <row r="80" spans="1:18">
      <c r="B80" s="331" t="s">
        <v>800</v>
      </c>
      <c r="C80" s="266">
        <f ca="1">ROUND(C75/C39,3)</f>
        <v>0.8</v>
      </c>
    </row>
    <row r="81" spans="2:3">
      <c r="B81" s="262" t="s">
        <v>801</v>
      </c>
      <c r="C81" s="230"/>
    </row>
    <row r="82" spans="2:3">
      <c r="B82" s="265" t="s">
        <v>802</v>
      </c>
      <c r="C82" s="267">
        <f ca="1">1-C83</f>
        <v>0.24299999999999999</v>
      </c>
    </row>
    <row r="83" spans="2:3">
      <c r="B83" s="265" t="s">
        <v>803</v>
      </c>
      <c r="C83" s="266">
        <f ca="1">ROUND(C13/C40,3)</f>
        <v>0.75700000000000001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B7E30-AC27-41CD-9491-5263473FE19D}">
  <sheetPr>
    <tabColor rgb="FF7030A0"/>
  </sheetPr>
  <dimension ref="A1:L18"/>
  <sheetViews>
    <sheetView workbookViewId="0">
      <selection activeCell="A13" sqref="A13"/>
    </sheetView>
  </sheetViews>
  <sheetFormatPr defaultRowHeight="14.4"/>
  <cols>
    <col min="5" max="6" width="11.6640625" bestFit="1" customWidth="1"/>
    <col min="11" max="11" width="13.5546875" customWidth="1"/>
  </cols>
  <sheetData>
    <row r="1" spans="1:12">
      <c r="A1" s="1405" t="s">
        <v>3460</v>
      </c>
      <c r="B1" s="1405" t="s">
        <v>3461</v>
      </c>
      <c r="C1" s="1405" t="s">
        <v>3463</v>
      </c>
      <c r="D1" s="1405" t="s">
        <v>3464</v>
      </c>
      <c r="H1" s="1405" t="s">
        <v>3460</v>
      </c>
      <c r="I1" s="1405" t="s">
        <v>3478</v>
      </c>
      <c r="J1" s="1405" t="s">
        <v>3477</v>
      </c>
    </row>
    <row r="2" spans="1:12">
      <c r="A2" s="1405" t="s">
        <v>3459</v>
      </c>
      <c r="B2" s="1405" t="s">
        <v>3462</v>
      </c>
      <c r="C2">
        <v>170.67</v>
      </c>
      <c r="D2">
        <v>50000</v>
      </c>
      <c r="E2" s="3502">
        <v>45584</v>
      </c>
      <c r="F2" s="3502">
        <v>45948</v>
      </c>
      <c r="H2">
        <f>'数据-基础表'!C13</f>
        <v>15</v>
      </c>
      <c r="I2">
        <f>'数据-基础表'!G13</f>
        <v>170.67</v>
      </c>
      <c r="J2">
        <f>ROUND(D2/365/I2,2)</f>
        <v>0.8</v>
      </c>
      <c r="L2">
        <f>J2*I2</f>
        <v>136.536</v>
      </c>
    </row>
    <row r="3" spans="1:12">
      <c r="A3" s="1405" t="s">
        <v>3465</v>
      </c>
      <c r="B3" s="1405" t="s">
        <v>3466</v>
      </c>
      <c r="D3">
        <v>92000</v>
      </c>
      <c r="E3" s="3502">
        <v>45555</v>
      </c>
      <c r="F3" s="3502">
        <v>45919</v>
      </c>
      <c r="H3">
        <f>'数据-基础表'!C14</f>
        <v>16</v>
      </c>
      <c r="I3">
        <f>'数据-基础表'!G14</f>
        <v>129.02000000000001</v>
      </c>
      <c r="J3">
        <f>ROUND(D3/365/(I3+I4),2)</f>
        <v>0.91</v>
      </c>
      <c r="L3">
        <f>J3*(I3+I4)</f>
        <v>251.00530000000003</v>
      </c>
    </row>
    <row r="4" spans="1:12">
      <c r="H4">
        <f>'数据-基础表'!C15</f>
        <v>17</v>
      </c>
      <c r="I4">
        <f>'数据-基础表'!G15</f>
        <v>146.81</v>
      </c>
    </row>
    <row r="5" spans="1:12">
      <c r="A5" s="1405" t="s">
        <v>3467</v>
      </c>
      <c r="B5" s="1405" t="s">
        <v>3468</v>
      </c>
      <c r="D5">
        <v>45000</v>
      </c>
      <c r="E5" s="3502">
        <v>45809</v>
      </c>
      <c r="F5" s="3502">
        <v>46173</v>
      </c>
      <c r="H5">
        <f>'数据-基础表'!C16</f>
        <v>18</v>
      </c>
      <c r="I5">
        <f>'数据-基础表'!G16</f>
        <v>152.74</v>
      </c>
      <c r="J5">
        <f>ROUND(D5/365/I5,2)</f>
        <v>0.81</v>
      </c>
      <c r="L5">
        <f>J5*I5</f>
        <v>123.71940000000002</v>
      </c>
    </row>
    <row r="6" spans="1:12">
      <c r="A6" s="1405" t="s">
        <v>3469</v>
      </c>
      <c r="B6" s="3504" t="s">
        <v>3473</v>
      </c>
      <c r="D6">
        <v>46000</v>
      </c>
      <c r="E6" s="3503">
        <v>45515</v>
      </c>
      <c r="F6" s="3502">
        <v>45879</v>
      </c>
      <c r="H6">
        <f>'数据-基础表'!C17</f>
        <v>19</v>
      </c>
      <c r="I6">
        <f>'数据-基础表'!G17</f>
        <v>152.74</v>
      </c>
      <c r="J6">
        <f t="shared" ref="J6" si="0">ROUND(D6/365/I6,2)</f>
        <v>0.83</v>
      </c>
      <c r="L6">
        <f t="shared" ref="L6:L8" si="1">J6*I6</f>
        <v>126.77420000000001</v>
      </c>
    </row>
    <row r="7" spans="1:12">
      <c r="A7" s="1405" t="s">
        <v>3470</v>
      </c>
      <c r="B7" s="1405" t="s">
        <v>3472</v>
      </c>
      <c r="D7">
        <v>46000</v>
      </c>
      <c r="E7" s="3502">
        <v>45767</v>
      </c>
      <c r="F7" s="3502">
        <v>46193</v>
      </c>
      <c r="G7" s="1405" t="s">
        <v>3471</v>
      </c>
      <c r="H7">
        <f>'数据-基础表'!C18</f>
        <v>20</v>
      </c>
      <c r="I7">
        <f>'数据-基础表'!G18</f>
        <v>146.81</v>
      </c>
      <c r="J7">
        <f>ROUND(D7/(F7-E7)/I7,2)</f>
        <v>0.74</v>
      </c>
      <c r="L7">
        <f t="shared" si="1"/>
        <v>108.63939999999999</v>
      </c>
    </row>
    <row r="8" spans="1:12">
      <c r="A8" s="1405" t="s">
        <v>3474</v>
      </c>
      <c r="B8" s="1405" t="s">
        <v>3475</v>
      </c>
      <c r="D8">
        <v>45000</v>
      </c>
      <c r="E8" s="3502">
        <v>45709</v>
      </c>
      <c r="F8" s="3502">
        <v>46142</v>
      </c>
      <c r="G8" s="1405" t="s">
        <v>3476</v>
      </c>
      <c r="H8">
        <f>'数据-基础表'!C19</f>
        <v>21</v>
      </c>
      <c r="I8">
        <f>'数据-基础表'!G19</f>
        <v>136.43</v>
      </c>
      <c r="J8">
        <f>ROUND(D8/(F8-E8-70)/I8,2)</f>
        <v>0.91</v>
      </c>
      <c r="L8">
        <f t="shared" si="1"/>
        <v>124.15130000000001</v>
      </c>
    </row>
    <row r="9" spans="1:12">
      <c r="I9">
        <f>SUM(I2:I8)</f>
        <v>1035.22</v>
      </c>
      <c r="K9" s="1405" t="s">
        <v>3479</v>
      </c>
      <c r="L9">
        <f>SUM(L2:L8)</f>
        <v>870.82560000000012</v>
      </c>
    </row>
    <row r="10" spans="1:12">
      <c r="K10" s="1405" t="s">
        <v>3480</v>
      </c>
      <c r="L10">
        <f>ROUND(L9/I9,2)</f>
        <v>0.84</v>
      </c>
    </row>
    <row r="16" spans="1:12">
      <c r="B16" s="1405" t="s">
        <v>3430</v>
      </c>
    </row>
    <row r="17" spans="2:5">
      <c r="B17" s="1405" t="s">
        <v>3385</v>
      </c>
      <c r="C17" s="1405" t="s">
        <v>3431</v>
      </c>
      <c r="D17" s="1405" t="s">
        <v>3432</v>
      </c>
    </row>
    <row r="18" spans="2:5">
      <c r="B18">
        <v>157</v>
      </c>
      <c r="C18">
        <v>50000</v>
      </c>
      <c r="D18">
        <f>ROUND(C18/B18/365,2)</f>
        <v>0.87</v>
      </c>
      <c r="E18" s="1405" t="s">
        <v>3433</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FEBF2-6F46-4A68-A268-5CE9ECDA67E0}">
  <sheetPr>
    <tabColor rgb="FF7030A0"/>
  </sheetPr>
  <dimension ref="A1:A3"/>
  <sheetViews>
    <sheetView tabSelected="1" workbookViewId="0">
      <selection activeCell="K8" sqref="K8"/>
    </sheetView>
  </sheetViews>
  <sheetFormatPr defaultRowHeight="14.4"/>
  <sheetData>
    <row r="1" spans="1:1">
      <c r="A1" s="1405" t="s">
        <v>3492</v>
      </c>
    </row>
    <row r="2" spans="1:1">
      <c r="A2" s="1405" t="s">
        <v>3484</v>
      </c>
    </row>
    <row r="3" spans="1:1">
      <c r="A3" s="1405" t="s">
        <v>3485</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61.514600000000002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3604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32427</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32427</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32427</v>
      </c>
      <c r="D10" s="795">
        <f ca="1">IF(B1="",'数据-汇总表'!E6,IF(INDIRECT("'数据-取费表'!c"&amp;$G$1)="住宅",INDIRECT("'数据-取费表'!s"&amp;$G$1),INDIRECT("'数据-取费表'!k"&amp;$G$1)+INDIRECT("'数据-取费表'!s"&amp;$G$1)))</f>
        <v>170.67</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34134</v>
      </c>
      <c r="D19" s="204">
        <f ca="1">D9+D10</f>
        <v>170.67</v>
      </c>
      <c r="E19" s="203">
        <f>'数据-取费表'!B31</f>
        <v>200</v>
      </c>
      <c r="F19" s="223"/>
      <c r="G19" s="1714"/>
    </row>
    <row r="20" spans="1:7" s="206" customFormat="1" ht="13.5" customHeight="1">
      <c r="A20" s="247" t="s">
        <v>1574</v>
      </c>
      <c r="B20" s="202" t="s">
        <v>1575</v>
      </c>
      <c r="C20" s="224">
        <f ca="1">ROUND((C5+C19)*F20,0)</f>
        <v>1331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4094</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2079</v>
      </c>
      <c r="D24" s="230"/>
      <c r="E24" s="230"/>
      <c r="F24" s="231"/>
      <c r="G24" s="232" t="s">
        <v>1586</v>
      </c>
    </row>
    <row r="25" spans="1:7" s="206" customFormat="1" ht="24">
      <c r="A25" s="734" t="s">
        <v>1476</v>
      </c>
      <c r="B25" s="207" t="s">
        <v>1587</v>
      </c>
      <c r="C25" s="230">
        <f ca="1">ROUND(IF('数据-取费表'!B22&lt;=1,C20*F22*'数据-取费表'!B22/2,C20*(POWER((1+F22),'数据-取费表'!B22/2)-1)),0)</f>
        <v>40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6789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6789</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85245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581985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512010</v>
      </c>
      <c r="D34" s="209"/>
      <c r="E34" s="212"/>
      <c r="F34" s="249"/>
      <c r="G34" s="211"/>
    </row>
    <row r="35" spans="1:7" ht="13.5" customHeight="1">
      <c r="A35" s="734" t="s">
        <v>351</v>
      </c>
      <c r="B35" s="207" t="s">
        <v>1527</v>
      </c>
      <c r="C35" s="212">
        <f ca="1">ROUND(C34*F35,0)</f>
        <v>25601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34134</v>
      </c>
      <c r="D37" s="209">
        <f ca="1">D19</f>
        <v>170.67</v>
      </c>
      <c r="E37" s="241">
        <f>'数据-取费表'!B35</f>
        <v>200</v>
      </c>
      <c r="F37" s="251"/>
      <c r="G37" s="253"/>
    </row>
    <row r="38" spans="1:7" ht="13.5" customHeight="1">
      <c r="A38" s="734" t="s">
        <v>354</v>
      </c>
      <c r="B38" s="207" t="s">
        <v>1533</v>
      </c>
      <c r="C38" s="212">
        <f ca="1">ROUND(C34*F38,0)</f>
        <v>10240</v>
      </c>
      <c r="D38" s="212"/>
      <c r="E38" s="212"/>
      <c r="F38" s="251">
        <f>'数据-取费表'!B36</f>
        <v>0.02</v>
      </c>
      <c r="G38" s="211" t="s">
        <v>1528</v>
      </c>
    </row>
    <row r="39" spans="1:7" s="206" customFormat="1" ht="13.5" customHeight="1">
      <c r="A39" s="247" t="s">
        <v>1534</v>
      </c>
      <c r="B39" s="202" t="s">
        <v>1535</v>
      </c>
      <c r="C39" s="224">
        <f ca="1">ROUND(C33*F20,0)</f>
        <v>11640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17809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17460</v>
      </c>
      <c r="D42" s="230"/>
      <c r="E42" s="230"/>
      <c r="F42" s="231"/>
      <c r="G42" s="3349" t="s">
        <v>1591</v>
      </c>
    </row>
    <row r="43" spans="1:7" ht="13.5" customHeight="1">
      <c r="A43" s="734" t="s">
        <v>347</v>
      </c>
      <c r="B43" s="207" t="s">
        <v>1545</v>
      </c>
      <c r="C43" s="230">
        <f ca="1">ROUND(IF('数据-取费表'!B22&lt;=1,C39*F22*'数据-取费表'!B20/2,C39*(POWER((1+F22),'数据-取费表'!B20/2)-1)),0)</f>
        <v>349</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59363</v>
      </c>
      <c r="D45" s="227">
        <f ca="1">C47</f>
        <v>2E-3</v>
      </c>
      <c r="E45" s="228" t="s">
        <v>1539</v>
      </c>
      <c r="F45" s="238">
        <f ca="1">F27</f>
        <v>0.1</v>
      </c>
      <c r="G45" s="239" t="s">
        <v>1548</v>
      </c>
    </row>
    <row r="46" spans="1:7" s="206" customFormat="1" ht="13.5" customHeight="1">
      <c r="A46" s="734" t="s">
        <v>346</v>
      </c>
      <c r="B46" s="240" t="s">
        <v>1549</v>
      </c>
      <c r="C46" s="241">
        <f ca="1">ROUND((C33+C39)*F27,0)</f>
        <v>59363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725892</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529901</v>
      </c>
      <c r="D51" s="224"/>
      <c r="E51" s="224"/>
      <c r="F51" s="256"/>
      <c r="G51" s="226" t="s">
        <v>1560</v>
      </c>
    </row>
    <row r="52" spans="1:7" s="200" customFormat="1" ht="16.8" thickBot="1">
      <c r="A52" s="257" t="s">
        <v>1561</v>
      </c>
      <c r="B52" s="258"/>
      <c r="C52" s="259">
        <f ca="1">C31+C51</f>
        <v>615146</v>
      </c>
      <c r="D52" s="258"/>
      <c r="E52" s="258"/>
      <c r="F52" s="258"/>
      <c r="G52" s="260"/>
    </row>
    <row r="55" spans="1:7" ht="15">
      <c r="B55" s="262" t="s">
        <v>1562</v>
      </c>
      <c r="C55" s="263"/>
    </row>
    <row r="56" spans="1:7">
      <c r="B56" s="265" t="s">
        <v>802</v>
      </c>
      <c r="C56" s="267">
        <f ca="1">1-C57</f>
        <v>0.13900000000000001</v>
      </c>
    </row>
    <row r="57" spans="1:7">
      <c r="B57" s="265" t="s">
        <v>803</v>
      </c>
      <c r="C57" s="266">
        <f ca="1">ROUND(C51/C52,3)</f>
        <v>0.86099999999999999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-176</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170.67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170.67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170.67</v>
      </c>
      <c r="E20" s="21">
        <f>'数据-取费表'!B28</f>
        <v>190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0</v>
      </c>
      <c r="D6" s="147" t="s">
        <v>2104</v>
      </c>
      <c r="E6" s="294" t="s">
        <v>696</v>
      </c>
      <c r="F6" s="295">
        <f ca="1">INDIRECT("'数据-取费表'!u"&amp;$G$1)</f>
        <v>0</v>
      </c>
      <c r="G6" s="1292"/>
      <c r="H6" s="1006" t="s">
        <v>398</v>
      </c>
      <c r="I6" s="3354" t="s">
        <v>694</v>
      </c>
      <c r="J6" s="293">
        <f ca="1">ROUND(M6*M8*M7*(1-M9),0)</f>
        <v>0</v>
      </c>
      <c r="K6" s="1284" t="s">
        <v>2105</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7" t="s">
        <v>2304</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5" t="s">
        <v>3348</v>
      </c>
      <c r="B45" s="1307"/>
      <c r="C45" s="1376" t="e">
        <f ca="1">ROUND((C68-C40)/10000,4)</f>
        <v>#DIV/0!</v>
      </c>
      <c r="D45" s="3126"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4" t="s">
        <v>3355</v>
      </c>
      <c r="E2" s="3135"/>
      <c r="F2" s="2595"/>
      <c r="G2" s="2596"/>
      <c r="H2" s="2597"/>
      <c r="I2" s="2598"/>
      <c r="J2" s="3363" t="s">
        <v>2315</v>
      </c>
      <c r="K2" s="3364"/>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365" t="s">
        <v>2325</v>
      </c>
      <c r="K3" s="3366"/>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365" t="s">
        <v>2327</v>
      </c>
      <c r="K4" s="3366"/>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371" t="s">
        <v>2331</v>
      </c>
      <c r="B6" s="3372"/>
      <c r="C6" s="3373"/>
      <c r="D6" s="2619"/>
      <c r="E6" s="2620"/>
      <c r="F6" s="2621"/>
      <c r="G6" s="2622"/>
      <c r="H6" s="2597"/>
      <c r="I6" s="2598"/>
      <c r="J6" s="3357">
        <v>1</v>
      </c>
      <c r="K6" s="3358"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357"/>
      <c r="K7" s="3359"/>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374" t="s">
        <v>2345</v>
      </c>
      <c r="C8" s="3375"/>
      <c r="D8" s="2638" t="s">
        <v>2346</v>
      </c>
      <c r="E8" s="2639" t="s">
        <v>2347</v>
      </c>
      <c r="F8" s="2640" t="s">
        <v>2348</v>
      </c>
      <c r="G8" s="2641"/>
      <c r="H8" s="2597"/>
      <c r="I8" s="2598"/>
      <c r="J8" s="3357"/>
      <c r="K8" s="3359"/>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374" t="s">
        <v>2351</v>
      </c>
      <c r="C9" s="3375"/>
      <c r="D9" s="2638">
        <f>ROUND(D6*E9,0)</f>
        <v>0</v>
      </c>
      <c r="E9" s="2642"/>
      <c r="F9" s="2643" t="s">
        <v>2352</v>
      </c>
      <c r="G9" s="2622"/>
      <c r="H9" s="2597"/>
      <c r="I9" s="2598"/>
      <c r="J9" s="3357"/>
      <c r="K9" s="3359"/>
      <c r="L9" s="2632" t="s">
        <v>2353</v>
      </c>
      <c r="M9" s="2633"/>
      <c r="N9" s="2609"/>
      <c r="O9" s="2634"/>
      <c r="P9" s="2634"/>
      <c r="Q9" s="2635">
        <v>365</v>
      </c>
      <c r="R9" s="2636">
        <f t="shared" si="0"/>
        <v>0</v>
      </c>
      <c r="S9" s="2590"/>
      <c r="T9" s="2590"/>
      <c r="U9" s="2590"/>
      <c r="V9" s="2598"/>
    </row>
    <row r="10" spans="1:22" s="2602" customFormat="1" ht="13.2" customHeight="1">
      <c r="A10" s="2637">
        <v>2</v>
      </c>
      <c r="B10" s="3374" t="s">
        <v>2354</v>
      </c>
      <c r="C10" s="3375"/>
      <c r="D10" s="2638">
        <f>ROUND(D6*E10,0)</f>
        <v>0</v>
      </c>
      <c r="E10" s="2642"/>
      <c r="F10" s="2643" t="s">
        <v>2355</v>
      </c>
      <c r="G10" s="2622"/>
      <c r="H10" s="2597"/>
      <c r="I10" s="2598"/>
      <c r="J10" s="3357"/>
      <c r="K10" s="3359"/>
      <c r="L10" s="2632" t="s">
        <v>2356</v>
      </c>
      <c r="M10" s="2633"/>
      <c r="N10" s="2609"/>
      <c r="O10" s="2634"/>
      <c r="P10" s="2634"/>
      <c r="Q10" s="2635">
        <v>365</v>
      </c>
      <c r="R10" s="2636">
        <f t="shared" si="0"/>
        <v>0</v>
      </c>
      <c r="S10" s="2590"/>
      <c r="T10" s="2590"/>
      <c r="U10" s="2590"/>
      <c r="V10" s="2598"/>
    </row>
    <row r="11" spans="1:22" s="2602" customFormat="1" ht="13.2" customHeight="1">
      <c r="A11" s="2637">
        <v>3</v>
      </c>
      <c r="B11" s="3374" t="s">
        <v>2357</v>
      </c>
      <c r="C11" s="3375"/>
      <c r="D11" s="2638">
        <f>D12+D14+D15+D16</f>
        <v>0</v>
      </c>
      <c r="E11" s="2644" t="e">
        <f>D11/D6</f>
        <v>#DIV/0!</v>
      </c>
      <c r="F11" s="2640"/>
      <c r="G11" s="2641"/>
      <c r="H11" s="2597"/>
      <c r="I11" s="2598"/>
      <c r="J11" s="3357"/>
      <c r="K11" s="3359"/>
      <c r="L11" s="2632" t="s">
        <v>2358</v>
      </c>
      <c r="M11" s="2633"/>
      <c r="N11" s="2609"/>
      <c r="O11" s="2634"/>
      <c r="P11" s="2634"/>
      <c r="Q11" s="2635">
        <v>365</v>
      </c>
      <c r="R11" s="2636">
        <f t="shared" si="0"/>
        <v>0</v>
      </c>
      <c r="S11" s="2590"/>
      <c r="T11" s="2590"/>
      <c r="U11" s="2590"/>
      <c r="V11" s="2598"/>
    </row>
    <row r="12" spans="1:22" s="2602" customFormat="1" ht="13.2" customHeight="1">
      <c r="A12" s="2645" t="s">
        <v>2359</v>
      </c>
      <c r="B12" s="3367" t="s">
        <v>2360</v>
      </c>
      <c r="C12" s="3368"/>
      <c r="D12" s="2646">
        <f>ROUND(D13*1.2%*(1-30%),0)</f>
        <v>0</v>
      </c>
      <c r="E12" s="2647">
        <v>1.2E-2</v>
      </c>
      <c r="F12" s="2640" t="s">
        <v>2361</v>
      </c>
      <c r="G12" s="2641"/>
      <c r="H12" s="2597"/>
      <c r="I12" s="2598"/>
      <c r="J12" s="3357"/>
      <c r="K12" s="3359"/>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357"/>
      <c r="K13" s="3359"/>
      <c r="L13" s="2632" t="s">
        <v>2364</v>
      </c>
      <c r="M13" s="2633"/>
      <c r="N13" s="2609"/>
      <c r="O13" s="2634"/>
      <c r="P13" s="2634"/>
      <c r="Q13" s="2635">
        <v>365</v>
      </c>
      <c r="R13" s="2636">
        <f t="shared" si="0"/>
        <v>0</v>
      </c>
      <c r="S13" s="2590"/>
      <c r="T13" s="2590"/>
      <c r="U13" s="2590"/>
      <c r="V13" s="2598"/>
    </row>
    <row r="14" spans="1:22" s="2602" customFormat="1" ht="13.2" customHeight="1">
      <c r="A14" s="2645" t="s">
        <v>2365</v>
      </c>
      <c r="B14" s="3367" t="s">
        <v>2366</v>
      </c>
      <c r="C14" s="3368"/>
      <c r="D14" s="2646">
        <f>ROUND(E14*B5/10000,0)</f>
        <v>0</v>
      </c>
      <c r="E14" s="2635"/>
      <c r="F14" s="2640" t="s">
        <v>2367</v>
      </c>
      <c r="G14" s="2641"/>
      <c r="H14" s="2597"/>
      <c r="I14" s="2598"/>
      <c r="J14" s="3357"/>
      <c r="K14" s="3360"/>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367" t="s">
        <v>2370</v>
      </c>
      <c r="C15" s="3368"/>
      <c r="D15" s="2646">
        <f>ROUND(D6*E15,0)</f>
        <v>0</v>
      </c>
      <c r="E15" s="2647">
        <v>5.5E-2</v>
      </c>
      <c r="F15" s="2640" t="s">
        <v>2371</v>
      </c>
      <c r="G15" s="2622"/>
      <c r="H15" s="2597"/>
      <c r="I15" s="2598"/>
      <c r="J15" s="3357">
        <v>2</v>
      </c>
      <c r="K15" s="3358"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367" t="s">
        <v>2379</v>
      </c>
      <c r="C16" s="3368"/>
      <c r="D16" s="2657">
        <f>D6*E16</f>
        <v>0</v>
      </c>
      <c r="E16" s="2658"/>
      <c r="F16" s="2643" t="s">
        <v>2380</v>
      </c>
      <c r="G16" s="2622"/>
      <c r="H16" s="2597"/>
      <c r="I16" s="2598"/>
      <c r="J16" s="3357"/>
      <c r="K16" s="3359"/>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369" t="s">
        <v>2382</v>
      </c>
      <c r="C17" s="3370"/>
      <c r="D17" s="2660">
        <f>ROUND(D6*E17,0)</f>
        <v>0</v>
      </c>
      <c r="E17" s="2661"/>
      <c r="F17" s="2662" t="s">
        <v>2383</v>
      </c>
      <c r="G17" s="2622"/>
      <c r="H17" s="2597"/>
      <c r="I17" s="2598"/>
      <c r="J17" s="3357"/>
      <c r="K17" s="3359"/>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357"/>
      <c r="K18" s="3359"/>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357"/>
      <c r="K19" s="3360"/>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7">
        <v>3</v>
      </c>
      <c r="K20" s="3358"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357"/>
      <c r="K21" s="3359"/>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357"/>
      <c r="K22" s="3359"/>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357"/>
      <c r="K23" s="3359"/>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357"/>
      <c r="K24" s="3360"/>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361">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36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363" t="s">
        <v>2315</v>
      </c>
      <c r="K32" s="3364"/>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365" t="s">
        <v>2325</v>
      </c>
      <c r="K33" s="3366"/>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365" t="s">
        <v>2327</v>
      </c>
      <c r="K34" s="336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357">
        <v>1</v>
      </c>
      <c r="K36" s="3358"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357"/>
      <c r="K37" s="3359"/>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7"/>
      <c r="K38" s="3359"/>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357"/>
      <c r="K39" s="3359"/>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357"/>
      <c r="K40" s="3360"/>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361">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36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77</v>
      </c>
      <c r="C2" s="1729" t="s">
        <v>1651</v>
      </c>
      <c r="D2" s="1730" t="s">
        <v>1652</v>
      </c>
      <c r="E2" s="2391">
        <f>SUM(E6:E13)</f>
        <v>170.67</v>
      </c>
      <c r="F2" s="2477"/>
      <c r="G2" s="459"/>
      <c r="H2" s="459"/>
      <c r="I2" s="459"/>
      <c r="J2" s="459"/>
      <c r="K2" s="459"/>
      <c r="L2" s="459"/>
      <c r="M2" s="459"/>
      <c r="N2" s="459"/>
      <c r="O2" s="459"/>
      <c r="P2" s="459"/>
      <c r="Q2" s="459"/>
      <c r="R2" s="459"/>
      <c r="S2" s="459"/>
    </row>
    <row r="3" spans="1:22" ht="15.6">
      <c r="A3" s="1728" t="s">
        <v>686</v>
      </c>
      <c r="B3" s="2385">
        <f ca="1">ROUND(B2*10000/E2,0)</f>
        <v>4512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6" t="s">
        <v>1654</v>
      </c>
      <c r="C5" s="3377"/>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77</v>
      </c>
      <c r="C6" s="1729" t="s">
        <v>1651</v>
      </c>
      <c r="D6" s="2477"/>
      <c r="E6" s="2390">
        <f>IF(OR(A6=0,F6="否"),0,'数据-取费表'!K6+'数据-取费表'!S6)</f>
        <v>170.67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170.67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4"/>
      <c r="M4" s="2485"/>
      <c r="N4" s="2485"/>
      <c r="O4" s="2485"/>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45806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受贵公司委托，我公司对北京市密云县阳光街783幢进行了预评估。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估价对象为北京市密云县阳光街783幢房地产，为李宝山所有。根据《国有土地使用证》[]，估价对象（分摊）出让国有建设用地使用权面积为0平方米，建筑面积为170.67平方米。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阳光街783幢房地产,属李宝山开发建设的商业项目，该项目尚在开发建设中。根据《国有土地使用证》[]，估价对象（分摊）出让国有建设用地使用权面积为0平方米，规划建筑面积为170.67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2025年5月29日（评估专业人员实地查勘之日）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170.67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45806</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1793</v>
      </c>
      <c r="B48" s="424"/>
      <c r="C48" s="1082" t="e">
        <f>R49</f>
        <v>#DIV/0!</v>
      </c>
      <c r="D48" s="2141" t="s">
        <v>2136</v>
      </c>
      <c r="E48" s="1083" t="e">
        <f>R48</f>
        <v>#DIV/0!</v>
      </c>
      <c r="F48" s="2142"/>
      <c r="G48" s="1082" t="e">
        <f>T48</f>
        <v>#DIV/0!</v>
      </c>
      <c r="H48" s="2142"/>
      <c r="I48" s="1083" t="e">
        <f>V48</f>
        <v>#DIV/0!</v>
      </c>
      <c r="J48" s="2142"/>
      <c r="K48" s="2144">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170.67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4"/>
      <c r="M5" s="2485"/>
      <c r="N5" s="2485"/>
      <c r="O5" s="2485"/>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45806</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2136</v>
      </c>
      <c r="E49" s="1083" t="e">
        <f>R49</f>
        <v>#DIV/0!</v>
      </c>
      <c r="F49" s="2142"/>
      <c r="G49" s="1082" t="e">
        <f>T49</f>
        <v>#DIV/0!</v>
      </c>
      <c r="H49" s="2142"/>
      <c r="I49" s="1083" t="e">
        <f>V49</f>
        <v>#DIV/0!</v>
      </c>
      <c r="J49" s="2142"/>
      <c r="K49" s="2144">
        <f>F49+H49+J49</f>
        <v>0</v>
      </c>
      <c r="L49" s="2492"/>
      <c r="M49" s="2485"/>
      <c r="N49" s="2485"/>
      <c r="O49" s="2485"/>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170.67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45806</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45806</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2"/>
      <c r="M38" s="2485"/>
      <c r="N38" s="2485"/>
      <c r="O38" s="2485"/>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45806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2"/>
      <c r="M36" s="2485"/>
      <c r="N36" s="2485"/>
      <c r="O36" s="2485"/>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45806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138</v>
      </c>
      <c r="G10" s="402"/>
      <c r="H10" s="119">
        <f>ROUND(100/'数据-取费表'!G16,0)</f>
        <v>138</v>
      </c>
      <c r="I10" s="402"/>
      <c r="J10" s="119">
        <f>ROUND(100/'数据-取费表'!G16,0)</f>
        <v>138</v>
      </c>
      <c r="K10" s="592"/>
      <c r="L10" s="2487"/>
      <c r="M10" s="2488"/>
      <c r="N10" s="2488"/>
      <c r="O10" s="2539"/>
      <c r="P10" s="3381"/>
      <c r="Q10" s="530" t="str">
        <f t="shared" si="6"/>
        <v>土地使用年限（年）</v>
      </c>
      <c r="R10" s="664" t="s">
        <v>14</v>
      </c>
      <c r="S10" s="665">
        <f t="shared" si="0"/>
        <v>138</v>
      </c>
      <c r="T10" s="664" t="s">
        <v>14</v>
      </c>
      <c r="U10" s="665">
        <f t="shared" si="1"/>
        <v>138</v>
      </c>
      <c r="V10" s="664" t="s">
        <v>14</v>
      </c>
      <c r="W10" s="665">
        <f t="shared" si="2"/>
        <v>138</v>
      </c>
      <c r="X10" s="666"/>
      <c r="Y10" s="3256"/>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2"/>
      <c r="M47" s="2485"/>
      <c r="N47" s="2485"/>
      <c r="O47" s="2485"/>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170.67</v>
      </c>
      <c r="F56" s="833" t="e">
        <f t="shared" ref="F56:F64" si="15">ROUND(B56*E56/10000,0)</f>
        <v>#DIV/0!</v>
      </c>
      <c r="G56" s="3392"/>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八级</v>
      </c>
      <c r="I57" s="838">
        <f>SUMIF(修正!A57:A68,H57,修正!B57:B68)</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八级</v>
      </c>
      <c r="I58" s="838">
        <f>SUMIF(修正!A57:A68,H58,修正!C57:C68)</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八级</v>
      </c>
      <c r="I59" s="838">
        <f>SUMIF(修正!A57:A68,H59,修正!D57:D68)</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170.67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45806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138</v>
      </c>
      <c r="G10" s="371"/>
      <c r="H10" s="119">
        <f>ROUND(100/'数据-取费表'!G16,0)</f>
        <v>138</v>
      </c>
      <c r="I10" s="371"/>
      <c r="J10" s="119">
        <f>ROUND(100/'数据-取费表'!G16,0)</f>
        <v>138</v>
      </c>
      <c r="K10" s="592"/>
      <c r="L10" s="2487"/>
      <c r="M10" s="2488"/>
      <c r="N10" s="2488"/>
      <c r="O10" s="2539"/>
      <c r="P10" s="3381"/>
      <c r="Q10" s="530" t="str">
        <f t="shared" si="6"/>
        <v>土地使用年限（年）</v>
      </c>
      <c r="R10" s="664" t="s">
        <v>14</v>
      </c>
      <c r="S10" s="665">
        <f t="shared" si="0"/>
        <v>138</v>
      </c>
      <c r="T10" s="664" t="s">
        <v>14</v>
      </c>
      <c r="U10" s="665">
        <f t="shared" si="1"/>
        <v>138</v>
      </c>
      <c r="V10" s="664" t="s">
        <v>14</v>
      </c>
      <c r="W10" s="665">
        <f t="shared" si="2"/>
        <v>138</v>
      </c>
      <c r="X10" s="666"/>
      <c r="Y10" s="3256"/>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2"/>
      <c r="M42" s="2485"/>
      <c r="N42" s="2485"/>
      <c r="O42" s="2485"/>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170.67</v>
      </c>
      <c r="F51" s="611" t="e">
        <f t="shared" ref="F51:F60" si="15">ROUND(B51*E51/10000,0)</f>
        <v>#DIV/0!</v>
      </c>
      <c r="G51" s="3392"/>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八级</v>
      </c>
      <c r="I52" s="727">
        <f>SUMIF(修正!A57:A68,H52,修正!B57:B68)</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八级</v>
      </c>
      <c r="I53" s="727">
        <f>SUMIF(修正!A57:A68,H53,修正!C57:C68)</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八级</v>
      </c>
      <c r="I54" s="727">
        <f>SUMIF(修正!A57:A68,H54,修正!D57:D68)</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85" zoomScaleNormal="85" workbookViewId="0">
      <pane ySplit="24" topLeftCell="A25" activePane="bottomLeft" state="frozen"/>
      <selection activeCell="C50" sqref="C50"/>
      <selection pane="bottomLeft" activeCell="D8" sqref="D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0(含)-200</v>
      </c>
      <c r="D2" s="623" t="str">
        <f t="shared" si="0"/>
        <v>200(含)-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200</v>
      </c>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507" t="s">
        <v>3486</v>
      </c>
      <c r="C5" s="3508" t="s">
        <v>3487</v>
      </c>
      <c r="D5" s="3509" t="s">
        <v>3488</v>
      </c>
      <c r="E5" s="3509" t="s">
        <v>3490</v>
      </c>
      <c r="F5" s="3510" t="s">
        <v>3491</v>
      </c>
      <c r="G5" s="1227"/>
      <c r="H5" s="1227"/>
      <c r="I5" s="1227"/>
      <c r="J5" s="1227"/>
      <c r="K5" s="1227"/>
      <c r="L5" s="1228"/>
      <c r="M5" s="1229"/>
      <c r="N5" s="1229"/>
      <c r="O5" s="1227"/>
      <c r="P5" s="1227"/>
      <c r="Q5" s="1227"/>
      <c r="R5" s="1227"/>
      <c r="S5" s="1230"/>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929</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8974</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1035.22</v>
      </c>
      <c r="C22" s="3447" t="s">
        <v>27</v>
      </c>
      <c r="D22" s="3448"/>
      <c r="E22" s="3448"/>
      <c r="F22" s="3448"/>
      <c r="G22" s="3448"/>
      <c r="H22" s="3448"/>
      <c r="I22" s="3448"/>
      <c r="J22" s="3448"/>
      <c r="K22" s="3448"/>
      <c r="L22" s="3448"/>
      <c r="M22" s="3448"/>
      <c r="N22" s="3448"/>
      <c r="O22" s="3448"/>
      <c r="P22" s="3448"/>
      <c r="Q22" s="3449"/>
      <c r="R22" s="21">
        <f ca="1">ROUND(S22*10000/B22,0)</f>
        <v>8974</v>
      </c>
      <c r="S22" s="21">
        <f ca="1">SUM(S24:S10000)</f>
        <v>929</v>
      </c>
    </row>
    <row r="23" spans="1:45" s="9" customFormat="1" ht="24">
      <c r="A23" s="8" t="s">
        <v>2099</v>
      </c>
      <c r="B23" s="8" t="s">
        <v>2100</v>
      </c>
      <c r="C23" s="8" t="s">
        <v>2101</v>
      </c>
      <c r="D23" s="8" t="str">
        <f>B5</f>
        <v>装修状况</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15</v>
      </c>
      <c r="B24" s="633">
        <f>'数据-基础表'!G13</f>
        <v>170.67</v>
      </c>
      <c r="C24" s="2568">
        <v>1</v>
      </c>
      <c r="D24" s="2569" t="s">
        <v>3489</v>
      </c>
      <c r="E24" s="2568">
        <v>1</v>
      </c>
      <c r="F24" s="2569"/>
      <c r="G24" s="2568">
        <v>1</v>
      </c>
      <c r="H24" s="2569"/>
      <c r="I24" s="2568">
        <v>1</v>
      </c>
      <c r="J24" s="2569"/>
      <c r="K24" s="2568">
        <v>1</v>
      </c>
      <c r="L24" s="2569"/>
      <c r="M24" s="2568">
        <v>1</v>
      </c>
      <c r="N24" s="2569"/>
      <c r="O24" s="2568">
        <v>1</v>
      </c>
      <c r="P24" s="2569"/>
      <c r="Q24" s="2568">
        <v>1</v>
      </c>
      <c r="R24" s="633">
        <f ca="1">结果表!H102</f>
        <v>8977</v>
      </c>
      <c r="S24" s="634">
        <f t="shared" ref="S24:S54" ca="1" si="11">ROUND(R24*B24/10000,0)</f>
        <v>153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16</v>
      </c>
      <c r="B25" s="52">
        <f>'数据-基础表'!G14</f>
        <v>129.02000000000001</v>
      </c>
      <c r="C25" s="21">
        <f>IF(B25="",1,(LOOKUP(B25,$3:$3,$4:$4)-LOOKUP($B$24,$3:$3,$4:$4)+100)/100)</f>
        <v>1</v>
      </c>
      <c r="D25" s="2569" t="s">
        <v>3489</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8977</v>
      </c>
      <c r="S25" s="308">
        <f t="shared" ca="1" si="11"/>
        <v>116</v>
      </c>
    </row>
    <row r="26" spans="1:45">
      <c r="A26" s="142">
        <f>'数据-基础表'!C15</f>
        <v>17</v>
      </c>
      <c r="B26" s="52">
        <f>'数据-基础表'!G15</f>
        <v>146.81</v>
      </c>
      <c r="C26" s="21">
        <f t="shared" ref="C26:C89" si="12">IF(B26="",1,(LOOKUP(B26,$3:$3,$4:$4)-LOOKUP($B$24,$3:$3,$4:$4)+100)/100)</f>
        <v>1</v>
      </c>
      <c r="D26" s="2569" t="s">
        <v>3489</v>
      </c>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8977</v>
      </c>
      <c r="S26" s="308">
        <f t="shared" ca="1" si="11"/>
        <v>132</v>
      </c>
    </row>
    <row r="27" spans="1:45">
      <c r="A27" s="142">
        <f>'数据-基础表'!C16</f>
        <v>18</v>
      </c>
      <c r="B27" s="52">
        <f>'数据-基础表'!G16</f>
        <v>152.74</v>
      </c>
      <c r="C27" s="21">
        <f t="shared" si="12"/>
        <v>1</v>
      </c>
      <c r="D27" s="2569" t="s">
        <v>3489</v>
      </c>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8977</v>
      </c>
      <c r="S27" s="308">
        <f t="shared" ca="1" si="11"/>
        <v>137</v>
      </c>
    </row>
    <row r="28" spans="1:45">
      <c r="A28" s="142">
        <f>'数据-基础表'!C17</f>
        <v>19</v>
      </c>
      <c r="B28" s="52">
        <f>'数据-基础表'!G17</f>
        <v>152.74</v>
      </c>
      <c r="C28" s="21">
        <f t="shared" si="12"/>
        <v>1</v>
      </c>
      <c r="D28" s="2569" t="s">
        <v>3489</v>
      </c>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8977</v>
      </c>
      <c r="S28" s="308">
        <f t="shared" ca="1" si="11"/>
        <v>137</v>
      </c>
    </row>
    <row r="29" spans="1:45">
      <c r="A29" s="142">
        <f>'数据-基础表'!C18</f>
        <v>20</v>
      </c>
      <c r="B29" s="52">
        <f>'数据-基础表'!G18</f>
        <v>146.81</v>
      </c>
      <c r="C29" s="21">
        <f t="shared" si="12"/>
        <v>1</v>
      </c>
      <c r="D29" s="2569" t="s">
        <v>3489</v>
      </c>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8977</v>
      </c>
      <c r="S29" s="308">
        <f t="shared" ca="1" si="11"/>
        <v>132</v>
      </c>
    </row>
    <row r="30" spans="1:45">
      <c r="A30" s="142">
        <f>'数据-基础表'!C19</f>
        <v>21</v>
      </c>
      <c r="B30" s="52">
        <f>'数据-基础表'!G19</f>
        <v>136.43</v>
      </c>
      <c r="C30" s="21">
        <f t="shared" si="12"/>
        <v>1</v>
      </c>
      <c r="D30" s="2569" t="s">
        <v>3489</v>
      </c>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8977</v>
      </c>
      <c r="S30" s="308">
        <f t="shared" ca="1" si="11"/>
        <v>122</v>
      </c>
    </row>
    <row r="31" spans="1:45">
      <c r="A31" s="142"/>
      <c r="B31" s="52"/>
      <c r="C31" s="21">
        <f t="shared" si="12"/>
        <v>1</v>
      </c>
      <c r="D31" s="635"/>
      <c r="E31" s="21">
        <f t="shared" si="13"/>
        <v>0.02</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0.02</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0.02</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0.02</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0.02</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0.02</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0.02</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0.02</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0.02</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0.02</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0.02</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0.02</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0.02</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0.02</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0.02</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0.02</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0.02</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0.02</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0.02</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0.02</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0.02</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0.02</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0.02</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0.02</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0.02</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0.02</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0.02</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0.02</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0.02</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0.02</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0.02</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0.02</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0.02</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0.02</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0.02</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0.02</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0.02</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0.02</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0.02</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0.02</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0.02</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0.02</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0.02</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0.02</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0.02</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0.02</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0.02</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0.02</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0.02</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0.02</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0.02</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0.02</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0.02</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0.02</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0.02</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0.02</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0.02</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0.02</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0.02</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0.02</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0.02</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0.02</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0.02</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0.02</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0.02</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0.02</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0.02</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0.02</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0.02</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0.02</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0.02</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0.02</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0.02</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0.02</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0.02</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0.02</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0.02</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0.02</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0.02</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0.02</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0.02</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0.02</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0.02</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0.02</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0.02</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0.02</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0.02</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0.02</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0.02</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0.02</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0.02</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0.02</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0.02</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0.02</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0.02</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0.02</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0.02</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0.02</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0.02</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0.02</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0.02</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0.02</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0.02</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0.02</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0.02</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0.02</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0.02</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0.02</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0.02</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0.02</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0.02</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0.02</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0.02</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0.02</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0.02</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0.02</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0.02</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0.02</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0.02</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0.02</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0.02</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0.02</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0.02</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0.02</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0.02</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0.02</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0.02</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0.02</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0.02</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0.02</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0.02</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0.02</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0.02</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0.02</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0.02</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0.02</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0.02</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0.02</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0.02</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0.02</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0.02</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0.02</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0.02</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0.02</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0.02</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0.02</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0.02</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0.02</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0.02</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0.02</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0.02</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0.02</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0.02</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0.02</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0.02</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0.02</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0.02</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0.02</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0.02</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0.02</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0.02</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0.02</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0.02</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0.02</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0.02</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0.02</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0.02</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0.02</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0.02</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0.02</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0.02</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0.02</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0.02</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0.02</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0.02</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0.02</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0.02</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0.02</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0.02</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0.02</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0.02</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0.02</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0.02</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0.02</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0.02</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0.02</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0.02</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0.02</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0.02</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0.02</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0.02</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0.02</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0.02</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0.02</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0.02</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0.02</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0.02</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0.02</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0.02</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0.02</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0.02</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0.02</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0.02</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0.02</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0.02</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0.02</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0.02</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0.02</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0.02</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0.02</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0.02</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0.02</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0.02</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0.02</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0.02</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0.02</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0.02</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0.02</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0.02</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0.02</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0.02</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0.02</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0.02</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0.02</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0.02</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0.02</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0.02</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0.02</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0.02</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0.02</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0.02</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0.02</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0.02</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0.02</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0.02</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0.02</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0.02</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0.02</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0.02</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0.02</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0.02</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0.02</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0.02</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0.02</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0.02</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0.02</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0.02</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0.02</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0.02</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0.02</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0.02</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0.02</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0.02</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0.02</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0.02</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0.02</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0.02</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0.02</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0.02</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0.02</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0.02</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0.02</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0.02</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0.02</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0.02</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0.02</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0.02</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0.02</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0.02</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0.02</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0.02</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0.02</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0.02</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0.02</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0.02</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0.02</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0.02</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0.02</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0.02</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0.02</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0.02</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0.02</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0.02</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0.02</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0.02</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0.02</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0.02</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0.02</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0.02</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0.02</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0.02</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0.02</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0.02</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0.02</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0.02</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0.02</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0.02</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0.02</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0.02</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0.02</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0.02</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0.02</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0.02</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0.02</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0.02</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0.02</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0.02</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0.02</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0.02</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0.02</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0.02</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0.02</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0.02</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0.02</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0.02</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0.02</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0.02</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0.02</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0.02</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0.02</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0.02</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0.02</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0.02</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0.02</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0.02</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0.02</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0.02</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0.02</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0.02</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0.02</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0.02</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0.02</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0.02</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0.02</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0.02</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0.02</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0.02</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0.02</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0.02</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0.02</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0.02</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0.02</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0.02</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0.02</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0.02</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0.02</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0.02</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0.02</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0.02</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0.02</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0.02</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0.02</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0.02</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0.02</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0.02</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0.02</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0.02</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0.02</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0.02</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0.02</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0.02</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0.02</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0.02</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0.02</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0.02</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0.02</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0.02</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0.02</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0.02</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0.02</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0.02</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0.02</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0.02</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0.02</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0.02</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0.02</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0.02</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0.02</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0.02</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0.02</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0.02</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0.02</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0.02</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0.02</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0.02</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0.02</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0.02</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0.02</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0.02</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0.02</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0.02</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0.02</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0.02</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0.02</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0.02</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0.02</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0.02</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0.02</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0.02</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0.02</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0.02</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0.02</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0.02</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0.02</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0.02</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0.02</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0.02</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0.02</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0.02</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0.02</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0.02</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0.02</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0.02</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0.02</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0.02</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0.02</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0.02</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0.02</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0.02</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0.02</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0.02</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0.02</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0.02</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0.02</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0.02</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0.02</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0.02</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0.02</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0.02</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0.02</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0.02</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0.02</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0.02</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0.02</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0.02</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0.02</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0.02</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0.02</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0.02</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0.02</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0.02</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0.02</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0.02</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0.02</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0.02</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0.02</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0.02</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0.02</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0.02</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0.02</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0.02</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0.02</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0.02</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0.02</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0.02</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0.02</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0.02</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0.02</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0.02</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0.02</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0.02</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0.02</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0.02</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0.02</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0.02</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0.02</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0.02</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0.02</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0.02</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0.02</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0.02</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0.02</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0.02</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0.02</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0.02</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0.02</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0.02</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0.02</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0.02</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0.02</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113</v>
      </c>
      <c r="C2" s="1984" t="s">
        <v>2074</v>
      </c>
      <c r="D2" s="1984" t="s">
        <v>2075</v>
      </c>
      <c r="E2" s="2396">
        <f ca="1">SUMIF(E6:E13,"&lt;&gt;#ref!",E6:E13)</f>
        <v>170.67</v>
      </c>
      <c r="F2" s="2542"/>
      <c r="G2" s="2542"/>
      <c r="H2" s="2542"/>
      <c r="I2" s="2542"/>
      <c r="J2" s="2542"/>
      <c r="K2" s="2542"/>
      <c r="L2" s="2542"/>
      <c r="M2" s="2542"/>
      <c r="N2" s="2542"/>
      <c r="O2" s="2542"/>
      <c r="P2" s="2542"/>
    </row>
    <row r="3" spans="1:16" ht="15.6">
      <c r="A3" s="1984" t="s">
        <v>2076</v>
      </c>
      <c r="B3" s="2386">
        <f ca="1">ROUND(B2*10000/E2,0)</f>
        <v>6621</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113</v>
      </c>
      <c r="C6" s="1984" t="s">
        <v>2074</v>
      </c>
      <c r="D6" s="2542"/>
      <c r="E6" s="2396">
        <f ca="1">SUMIF(INDIRECT("'"&amp;A6&amp;"'"&amp;"!C:C"),"建筑面积",INDIRECT("'"&amp;A6&amp;"'"&amp;"!D:D"))</f>
        <v>170.67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81" t="s">
        <v>2605</v>
      </c>
      <c r="B20" s="3476" t="s">
        <v>2626</v>
      </c>
      <c r="C20" s="2840" t="s">
        <v>2437</v>
      </c>
      <c r="D20" s="2841"/>
      <c r="E20" s="2842">
        <v>1</v>
      </c>
      <c r="F20" s="2843" t="s">
        <v>2438</v>
      </c>
      <c r="G20" s="2843"/>
    </row>
    <row r="21" spans="1:13" ht="19.5" customHeight="1">
      <c r="A21" s="3482"/>
      <c r="B21" s="3475"/>
      <c r="C21" s="2844" t="s">
        <v>2439</v>
      </c>
      <c r="D21" s="2845"/>
      <c r="E21" s="2846">
        <v>1</v>
      </c>
      <c r="F21" s="2843" t="s">
        <v>2440</v>
      </c>
      <c r="G21" s="2843"/>
    </row>
    <row r="22" spans="1:13" ht="19.5" customHeight="1">
      <c r="A22" s="3482"/>
      <c r="B22" s="3475"/>
      <c r="C22" s="2844" t="s">
        <v>2441</v>
      </c>
      <c r="D22" s="2845"/>
      <c r="E22" s="2846">
        <v>0.9</v>
      </c>
      <c r="F22" s="2843" t="s">
        <v>2442</v>
      </c>
      <c r="G22" s="2843"/>
    </row>
    <row r="23" spans="1:13" ht="19.5" customHeight="1">
      <c r="A23" s="3482"/>
      <c r="B23" s="3475"/>
      <c r="C23" s="2844" t="s">
        <v>2443</v>
      </c>
      <c r="D23" s="2845"/>
      <c r="E23" s="2846">
        <v>0.9</v>
      </c>
      <c r="F23" s="2843" t="s">
        <v>2444</v>
      </c>
      <c r="G23" s="2843"/>
    </row>
    <row r="24" spans="1:13" ht="19.5" customHeight="1">
      <c r="A24" s="3482"/>
      <c r="B24" s="3475"/>
      <c r="C24" s="2844" t="s">
        <v>2445</v>
      </c>
      <c r="D24" s="2845"/>
      <c r="E24" s="2846">
        <v>0.8</v>
      </c>
      <c r="F24" s="2843" t="s">
        <v>2446</v>
      </c>
      <c r="G24" s="2843"/>
    </row>
    <row r="25" spans="1:13" ht="19.5" customHeight="1" thickBot="1">
      <c r="A25" s="3483"/>
      <c r="B25" s="3477"/>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78" t="s">
        <v>2629</v>
      </c>
      <c r="B27" s="3476" t="s">
        <v>2610</v>
      </c>
      <c r="C27" s="2840" t="s">
        <v>2450</v>
      </c>
      <c r="D27" s="2841"/>
      <c r="E27" s="2842">
        <v>1</v>
      </c>
      <c r="F27" s="2843" t="s">
        <v>2451</v>
      </c>
      <c r="G27" s="2843"/>
    </row>
    <row r="28" spans="1:13" ht="19.5" customHeight="1">
      <c r="A28" s="3479"/>
      <c r="B28" s="3475"/>
      <c r="C28" s="2844" t="s">
        <v>2452</v>
      </c>
      <c r="D28" s="2845"/>
      <c r="E28" s="2846">
        <v>1</v>
      </c>
      <c r="F28" s="2843" t="s">
        <v>2453</v>
      </c>
      <c r="G28" s="2843"/>
    </row>
    <row r="29" spans="1:13" ht="19.5" customHeight="1">
      <c r="A29" s="3479"/>
      <c r="B29" s="3475"/>
      <c r="C29" s="2844" t="s">
        <v>2454</v>
      </c>
      <c r="D29" s="2845"/>
      <c r="E29" s="2846">
        <v>0.8</v>
      </c>
      <c r="F29" s="2843" t="s">
        <v>2455</v>
      </c>
      <c r="G29" s="2843"/>
    </row>
    <row r="30" spans="1:13" ht="19.5" customHeight="1">
      <c r="A30" s="3479"/>
      <c r="B30" s="3475"/>
      <c r="C30" s="2844" t="s">
        <v>2456</v>
      </c>
      <c r="D30" s="2845"/>
      <c r="E30" s="2846">
        <v>0.8</v>
      </c>
      <c r="F30" s="2843" t="s">
        <v>2457</v>
      </c>
      <c r="G30" s="2843"/>
    </row>
    <row r="31" spans="1:13" ht="19.5" customHeight="1">
      <c r="A31" s="3479"/>
      <c r="B31" s="3475"/>
      <c r="C31" s="2844" t="s">
        <v>2458</v>
      </c>
      <c r="D31" s="2845"/>
      <c r="E31" s="2846">
        <v>0.8</v>
      </c>
      <c r="F31" s="2843" t="s">
        <v>2459</v>
      </c>
      <c r="G31" s="2843"/>
    </row>
    <row r="32" spans="1:13" ht="19.5" customHeight="1">
      <c r="A32" s="3479"/>
      <c r="B32" s="3475"/>
      <c r="C32" s="2844" t="s">
        <v>2460</v>
      </c>
      <c r="D32" s="2845"/>
      <c r="E32" s="2846">
        <v>0.7</v>
      </c>
      <c r="F32" s="2843" t="s">
        <v>2461</v>
      </c>
      <c r="G32" s="2843"/>
    </row>
    <row r="33" spans="1:7" ht="19.5" customHeight="1">
      <c r="A33" s="3479"/>
      <c r="B33" s="3475"/>
      <c r="C33" s="2844" t="s">
        <v>2462</v>
      </c>
      <c r="D33" s="2845"/>
      <c r="E33" s="2846">
        <v>0.8</v>
      </c>
      <c r="F33" s="2843" t="s">
        <v>2463</v>
      </c>
      <c r="G33" s="2843"/>
    </row>
    <row r="34" spans="1:7" ht="19.5" customHeight="1">
      <c r="A34" s="3479"/>
      <c r="B34" s="3475"/>
      <c r="C34" s="2844" t="s">
        <v>2464</v>
      </c>
      <c r="D34" s="2845"/>
      <c r="E34" s="2846">
        <v>0.6</v>
      </c>
      <c r="F34" s="2843" t="s">
        <v>2465</v>
      </c>
      <c r="G34" s="2843"/>
    </row>
    <row r="35" spans="1:7" ht="19.5" customHeight="1">
      <c r="A35" s="3479"/>
      <c r="B35" s="3475"/>
      <c r="C35" s="2844" t="s">
        <v>2466</v>
      </c>
      <c r="D35" s="2845"/>
      <c r="E35" s="2846">
        <v>0.2</v>
      </c>
      <c r="F35" s="2843" t="s">
        <v>2467</v>
      </c>
      <c r="G35" s="2843"/>
    </row>
    <row r="36" spans="1:7" ht="19.5" customHeight="1">
      <c r="A36" s="3479"/>
      <c r="B36" s="3475"/>
      <c r="C36" s="2844" t="s">
        <v>2468</v>
      </c>
      <c r="D36" s="2845"/>
      <c r="E36" s="2846">
        <v>0.2</v>
      </c>
      <c r="F36" s="2843" t="s">
        <v>2469</v>
      </c>
      <c r="G36" s="2843"/>
    </row>
    <row r="37" spans="1:7" ht="19.5" customHeight="1">
      <c r="A37" s="3479"/>
      <c r="B37" s="3473" t="s">
        <v>2630</v>
      </c>
      <c r="C37" s="2844" t="s">
        <v>2470</v>
      </c>
      <c r="D37" s="2845"/>
      <c r="E37" s="2846">
        <v>0.6</v>
      </c>
      <c r="F37" s="2843" t="s">
        <v>2471</v>
      </c>
      <c r="G37" s="2843"/>
    </row>
    <row r="38" spans="1:7" ht="19.5" customHeight="1">
      <c r="A38" s="3479"/>
      <c r="B38" s="3475"/>
      <c r="C38" s="2844" t="s">
        <v>2472</v>
      </c>
      <c r="D38" s="2845"/>
      <c r="E38" s="2846">
        <v>0.6</v>
      </c>
      <c r="F38" s="2843" t="s">
        <v>2473</v>
      </c>
      <c r="G38" s="2843"/>
    </row>
    <row r="39" spans="1:7" ht="19.5" customHeight="1" thickBot="1">
      <c r="A39" s="3480"/>
      <c r="B39" s="3477"/>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81" t="s">
        <v>2608</v>
      </c>
      <c r="B41" s="3476" t="s">
        <v>2632</v>
      </c>
      <c r="C41" s="2840" t="s">
        <v>2477</v>
      </c>
      <c r="D41" s="2841"/>
      <c r="E41" s="2842">
        <v>1</v>
      </c>
      <c r="F41" s="2843" t="s">
        <v>2478</v>
      </c>
      <c r="G41" s="2843"/>
    </row>
    <row r="42" spans="1:7" ht="19.5" customHeight="1">
      <c r="A42" s="3482"/>
      <c r="B42" s="3475"/>
      <c r="C42" s="2844" t="s">
        <v>2479</v>
      </c>
      <c r="D42" s="2845"/>
      <c r="E42" s="2846">
        <v>1</v>
      </c>
      <c r="F42" s="2843" t="s">
        <v>2480</v>
      </c>
      <c r="G42" s="2843"/>
    </row>
    <row r="43" spans="1:7" ht="19.5" customHeight="1">
      <c r="A43" s="3482"/>
      <c r="B43" s="3474"/>
      <c r="C43" s="2844" t="s">
        <v>2481</v>
      </c>
      <c r="D43" s="2845"/>
      <c r="E43" s="2846">
        <v>1.5</v>
      </c>
      <c r="F43" s="2843" t="s">
        <v>2482</v>
      </c>
      <c r="G43" s="2843"/>
    </row>
    <row r="44" spans="1:7" ht="19.5" customHeight="1">
      <c r="A44" s="3482"/>
      <c r="B44" s="2855" t="s">
        <v>2633</v>
      </c>
      <c r="C44" s="2844" t="s">
        <v>2634</v>
      </c>
      <c r="D44" s="2845"/>
      <c r="E44" s="2846">
        <v>2</v>
      </c>
      <c r="F44" s="2843" t="s">
        <v>2483</v>
      </c>
      <c r="G44" s="2843"/>
    </row>
    <row r="45" spans="1:7" ht="19.5" customHeight="1">
      <c r="A45" s="3482"/>
      <c r="B45" s="3473" t="s">
        <v>2635</v>
      </c>
      <c r="C45" s="2844" t="s">
        <v>2484</v>
      </c>
      <c r="D45" s="2845"/>
      <c r="E45" s="2846">
        <v>1</v>
      </c>
      <c r="F45" s="2843" t="s">
        <v>2485</v>
      </c>
      <c r="G45" s="2843"/>
    </row>
    <row r="46" spans="1:7" ht="19.5" customHeight="1">
      <c r="A46" s="3482"/>
      <c r="B46" s="3475"/>
      <c r="C46" s="2844" t="s">
        <v>2486</v>
      </c>
      <c r="D46" s="2845"/>
      <c r="E46" s="2846">
        <v>1</v>
      </c>
      <c r="F46" s="2843" t="s">
        <v>2487</v>
      </c>
      <c r="G46" s="2843"/>
    </row>
    <row r="47" spans="1:7" ht="19.5" customHeight="1">
      <c r="A47" s="3482"/>
      <c r="B47" s="3475"/>
      <c r="C47" s="2844" t="s">
        <v>2488</v>
      </c>
      <c r="D47" s="2845"/>
      <c r="E47" s="2846">
        <v>1</v>
      </c>
      <c r="F47" s="2843" t="s">
        <v>2489</v>
      </c>
      <c r="G47" s="2843"/>
    </row>
    <row r="48" spans="1:7" ht="19.5" customHeight="1">
      <c r="A48" s="3482"/>
      <c r="B48" s="3475"/>
      <c r="C48" s="2844" t="s">
        <v>2490</v>
      </c>
      <c r="D48" s="2845"/>
      <c r="E48" s="2846">
        <v>1</v>
      </c>
      <c r="F48" s="2843" t="s">
        <v>2491</v>
      </c>
      <c r="G48" s="2843"/>
    </row>
    <row r="49" spans="1:7" ht="19.5" customHeight="1">
      <c r="A49" s="3482"/>
      <c r="B49" s="3475"/>
      <c r="C49" s="2844" t="s">
        <v>2492</v>
      </c>
      <c r="D49" s="2845"/>
      <c r="E49" s="2846">
        <v>1</v>
      </c>
      <c r="F49" s="2843" t="s">
        <v>2493</v>
      </c>
      <c r="G49" s="2843"/>
    </row>
    <row r="50" spans="1:7" ht="19.5" customHeight="1">
      <c r="A50" s="3482"/>
      <c r="B50" s="3475"/>
      <c r="C50" s="2844" t="s">
        <v>2494</v>
      </c>
      <c r="D50" s="2845"/>
      <c r="E50" s="2846">
        <v>1</v>
      </c>
      <c r="F50" s="2843" t="s">
        <v>2495</v>
      </c>
      <c r="G50" s="2843"/>
    </row>
    <row r="51" spans="1:7" ht="19.5" customHeight="1" thickBot="1">
      <c r="A51" s="3483"/>
      <c r="B51" s="3477"/>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4.4">
      <c r="A72" s="2855"/>
      <c r="B72" s="2855"/>
      <c r="C72" s="2855" t="s">
        <v>2648</v>
      </c>
      <c r="D72" s="2855"/>
      <c r="E72" s="2855" t="s">
        <v>2619</v>
      </c>
      <c r="F72" s="2855" t="s">
        <v>2619</v>
      </c>
    </row>
    <row r="73" spans="1:7" ht="14.4">
      <c r="A73" s="2855">
        <v>1</v>
      </c>
      <c r="B73" s="3473" t="s">
        <v>2649</v>
      </c>
      <c r="C73" s="2829" t="s">
        <v>2650</v>
      </c>
      <c r="D73" s="2829" t="s">
        <v>2651</v>
      </c>
      <c r="E73" s="2855">
        <v>0.2</v>
      </c>
      <c r="F73" s="2855">
        <v>25</v>
      </c>
    </row>
    <row r="74" spans="1:7" ht="24">
      <c r="A74" s="2855">
        <v>2</v>
      </c>
      <c r="B74" s="3475"/>
      <c r="C74" s="2829" t="s">
        <v>2652</v>
      </c>
      <c r="D74" s="2829" t="s">
        <v>2653</v>
      </c>
      <c r="E74" s="2855">
        <v>0.2</v>
      </c>
      <c r="F74" s="2855">
        <v>25</v>
      </c>
    </row>
    <row r="75" spans="1:7" ht="24">
      <c r="A75" s="2855">
        <v>3</v>
      </c>
      <c r="B75" s="3475"/>
      <c r="C75" s="2829" t="s">
        <v>2654</v>
      </c>
      <c r="D75" s="2829" t="s">
        <v>2655</v>
      </c>
      <c r="E75" s="2855">
        <v>0.2</v>
      </c>
      <c r="F75" s="2855">
        <v>25</v>
      </c>
    </row>
    <row r="76" spans="1:7" ht="14.4">
      <c r="A76" s="2855">
        <v>4</v>
      </c>
      <c r="B76" s="3475"/>
      <c r="C76" s="2829" t="s">
        <v>2656</v>
      </c>
      <c r="D76" s="2829" t="s">
        <v>2657</v>
      </c>
      <c r="E76" s="2855">
        <v>0.15</v>
      </c>
      <c r="F76" s="2855">
        <v>20</v>
      </c>
    </row>
    <row r="77" spans="1:7" ht="24">
      <c r="A77" s="2855">
        <v>5</v>
      </c>
      <c r="B77" s="3475"/>
      <c r="C77" s="2829" t="s">
        <v>2658</v>
      </c>
      <c r="D77" s="2829" t="s">
        <v>2659</v>
      </c>
      <c r="E77" s="2855">
        <v>0.15</v>
      </c>
      <c r="F77" s="2855">
        <v>20</v>
      </c>
    </row>
    <row r="78" spans="1:7" ht="24">
      <c r="A78" s="2855">
        <v>6</v>
      </c>
      <c r="B78" s="3475"/>
      <c r="C78" s="2829" t="s">
        <v>2660</v>
      </c>
      <c r="D78" s="2829" t="s">
        <v>2661</v>
      </c>
      <c r="E78" s="2855">
        <v>0.15</v>
      </c>
      <c r="F78" s="2855">
        <v>20</v>
      </c>
    </row>
    <row r="79" spans="1:7" ht="24">
      <c r="A79" s="2855">
        <v>7</v>
      </c>
      <c r="B79" s="3475"/>
      <c r="C79" s="2829" t="s">
        <v>2662</v>
      </c>
      <c r="D79" s="2829" t="s">
        <v>2663</v>
      </c>
      <c r="E79" s="2855">
        <v>0.15</v>
      </c>
      <c r="F79" s="2855">
        <v>20</v>
      </c>
    </row>
    <row r="80" spans="1:7" ht="24">
      <c r="A80" s="2855">
        <v>8</v>
      </c>
      <c r="B80" s="3475"/>
      <c r="C80" s="2829" t="s">
        <v>2664</v>
      </c>
      <c r="D80" s="2829" t="s">
        <v>2665</v>
      </c>
      <c r="E80" s="2855">
        <v>0.1</v>
      </c>
      <c r="F80" s="2855">
        <v>15</v>
      </c>
    </row>
    <row r="81" spans="1:6" ht="24">
      <c r="A81" s="2855">
        <v>9</v>
      </c>
      <c r="B81" s="3475"/>
      <c r="C81" s="2829" t="s">
        <v>2666</v>
      </c>
      <c r="D81" s="2829" t="s">
        <v>2667</v>
      </c>
      <c r="E81" s="2855">
        <v>0.1</v>
      </c>
      <c r="F81" s="2855">
        <v>15</v>
      </c>
    </row>
    <row r="82" spans="1:6" ht="24">
      <c r="A82" s="2855">
        <v>10</v>
      </c>
      <c r="B82" s="3475"/>
      <c r="C82" s="2829" t="s">
        <v>2668</v>
      </c>
      <c r="D82" s="2829" t="s">
        <v>2669</v>
      </c>
      <c r="E82" s="2855">
        <v>0.1</v>
      </c>
      <c r="F82" s="2855">
        <v>15</v>
      </c>
    </row>
    <row r="83" spans="1:6" ht="24">
      <c r="A83" s="2855">
        <v>11</v>
      </c>
      <c r="B83" s="3475"/>
      <c r="C83" s="2829" t="s">
        <v>2670</v>
      </c>
      <c r="D83" s="2829" t="s">
        <v>2671</v>
      </c>
      <c r="E83" s="2855">
        <v>0.1</v>
      </c>
      <c r="F83" s="2855">
        <v>15</v>
      </c>
    </row>
    <row r="84" spans="1:6" ht="24">
      <c r="A84" s="2855">
        <v>12</v>
      </c>
      <c r="B84" s="3475"/>
      <c r="C84" s="2829" t="s">
        <v>2672</v>
      </c>
      <c r="D84" s="2829" t="s">
        <v>2673</v>
      </c>
      <c r="E84" s="2855">
        <v>0.1</v>
      </c>
      <c r="F84" s="2855">
        <v>15</v>
      </c>
    </row>
    <row r="85" spans="1:6" ht="24">
      <c r="A85" s="2855">
        <v>13</v>
      </c>
      <c r="B85" s="3475"/>
      <c r="C85" s="2829" t="s">
        <v>2674</v>
      </c>
      <c r="D85" s="2829" t="s">
        <v>2675</v>
      </c>
      <c r="E85" s="2855">
        <v>0.1</v>
      </c>
      <c r="F85" s="2855">
        <v>15</v>
      </c>
    </row>
    <row r="86" spans="1:6" ht="24">
      <c r="A86" s="2855">
        <v>14</v>
      </c>
      <c r="B86" s="3475"/>
      <c r="C86" s="2829" t="s">
        <v>2676</v>
      </c>
      <c r="D86" s="2829" t="s">
        <v>2677</v>
      </c>
      <c r="E86" s="2855">
        <v>0.1</v>
      </c>
      <c r="F86" s="2855">
        <v>15</v>
      </c>
    </row>
    <row r="87" spans="1:6" ht="24">
      <c r="A87" s="2855">
        <v>15</v>
      </c>
      <c r="B87" s="3475"/>
      <c r="C87" s="2829" t="s">
        <v>2678</v>
      </c>
      <c r="D87" s="2829" t="s">
        <v>2679</v>
      </c>
      <c r="E87" s="2855">
        <v>0.1</v>
      </c>
      <c r="F87" s="2855">
        <v>15</v>
      </c>
    </row>
    <row r="88" spans="1:6" ht="24">
      <c r="A88" s="2855">
        <v>16</v>
      </c>
      <c r="B88" s="3475"/>
      <c r="C88" s="2829" t="s">
        <v>2680</v>
      </c>
      <c r="D88" s="2829" t="s">
        <v>2681</v>
      </c>
      <c r="E88" s="2855">
        <v>0.1</v>
      </c>
      <c r="F88" s="2855">
        <v>15</v>
      </c>
    </row>
    <row r="89" spans="1:6" ht="24">
      <c r="A89" s="2855">
        <v>17</v>
      </c>
      <c r="B89" s="3474"/>
      <c r="C89" s="2829" t="s">
        <v>2682</v>
      </c>
      <c r="D89" s="2829" t="s">
        <v>2683</v>
      </c>
      <c r="E89" s="2855">
        <v>0.1</v>
      </c>
      <c r="F89" s="2855">
        <v>15</v>
      </c>
    </row>
    <row r="90" spans="1:6" ht="14.4">
      <c r="A90" s="2855">
        <v>18</v>
      </c>
      <c r="B90" s="3473" t="s">
        <v>2684</v>
      </c>
      <c r="C90" s="2829" t="s">
        <v>2685</v>
      </c>
      <c r="D90" s="2829" t="s">
        <v>2686</v>
      </c>
      <c r="E90" s="2855">
        <v>0.2</v>
      </c>
      <c r="F90" s="2855">
        <v>25</v>
      </c>
    </row>
    <row r="91" spans="1:6" ht="24">
      <c r="A91" s="2855">
        <v>19</v>
      </c>
      <c r="B91" s="3475"/>
      <c r="C91" s="2829" t="s">
        <v>2687</v>
      </c>
      <c r="D91" s="2829" t="s">
        <v>2688</v>
      </c>
      <c r="E91" s="2855">
        <v>0.2</v>
      </c>
      <c r="F91" s="2855">
        <v>25</v>
      </c>
    </row>
    <row r="92" spans="1:6" ht="14.4">
      <c r="A92" s="2855">
        <v>20</v>
      </c>
      <c r="B92" s="3475"/>
      <c r="C92" s="2829" t="s">
        <v>2689</v>
      </c>
      <c r="D92" s="2829" t="s">
        <v>2690</v>
      </c>
      <c r="E92" s="2855">
        <v>0.15</v>
      </c>
      <c r="F92" s="2855">
        <v>20</v>
      </c>
    </row>
    <row r="93" spans="1:6" ht="24">
      <c r="A93" s="2855">
        <v>21</v>
      </c>
      <c r="B93" s="3475"/>
      <c r="C93" s="2829" t="s">
        <v>2691</v>
      </c>
      <c r="D93" s="2829" t="s">
        <v>2692</v>
      </c>
      <c r="E93" s="2855">
        <v>0.15</v>
      </c>
      <c r="F93" s="2855">
        <v>20</v>
      </c>
    </row>
    <row r="94" spans="1:6" ht="24">
      <c r="A94" s="2855">
        <v>22</v>
      </c>
      <c r="B94" s="3475"/>
      <c r="C94" s="2829" t="s">
        <v>2693</v>
      </c>
      <c r="D94" s="2829" t="s">
        <v>2694</v>
      </c>
      <c r="E94" s="2855">
        <v>0.15</v>
      </c>
      <c r="F94" s="2855">
        <v>20</v>
      </c>
    </row>
    <row r="95" spans="1:6" ht="36">
      <c r="A95" s="2855">
        <v>23</v>
      </c>
      <c r="B95" s="3475"/>
      <c r="C95" s="2829" t="s">
        <v>2695</v>
      </c>
      <c r="D95" s="2829" t="s">
        <v>2696</v>
      </c>
      <c r="E95" s="2855">
        <v>0.15</v>
      </c>
      <c r="F95" s="2855">
        <v>20</v>
      </c>
    </row>
    <row r="96" spans="1:6" ht="24">
      <c r="A96" s="2855">
        <v>24</v>
      </c>
      <c r="B96" s="3475"/>
      <c r="C96" s="2829" t="s">
        <v>2697</v>
      </c>
      <c r="D96" s="2829" t="s">
        <v>2698</v>
      </c>
      <c r="E96" s="2855">
        <v>0.1</v>
      </c>
      <c r="F96" s="2855">
        <v>15</v>
      </c>
    </row>
    <row r="97" spans="1:6" ht="24">
      <c r="A97" s="2855">
        <v>25</v>
      </c>
      <c r="B97" s="3475"/>
      <c r="C97" s="2829" t="s">
        <v>2699</v>
      </c>
      <c r="D97" s="2829" t="s">
        <v>2700</v>
      </c>
      <c r="E97" s="2855">
        <v>0.1</v>
      </c>
      <c r="F97" s="2855">
        <v>15</v>
      </c>
    </row>
    <row r="98" spans="1:6" ht="24">
      <c r="A98" s="2855">
        <v>26</v>
      </c>
      <c r="B98" s="3475"/>
      <c r="C98" s="2829" t="s">
        <v>2701</v>
      </c>
      <c r="D98" s="2829" t="s">
        <v>2702</v>
      </c>
      <c r="E98" s="2855">
        <v>0.1</v>
      </c>
      <c r="F98" s="2855">
        <v>15</v>
      </c>
    </row>
    <row r="99" spans="1:6" ht="24">
      <c r="A99" s="2855">
        <v>27</v>
      </c>
      <c r="B99" s="3475"/>
      <c r="C99" s="2829" t="s">
        <v>2703</v>
      </c>
      <c r="D99" s="2829" t="s">
        <v>2704</v>
      </c>
      <c r="E99" s="2855">
        <v>0.1</v>
      </c>
      <c r="F99" s="2855">
        <v>15</v>
      </c>
    </row>
    <row r="100" spans="1:6" ht="24">
      <c r="A100" s="2855">
        <v>28</v>
      </c>
      <c r="B100" s="3475"/>
      <c r="C100" s="2829" t="s">
        <v>2705</v>
      </c>
      <c r="D100" s="2829" t="s">
        <v>2706</v>
      </c>
      <c r="E100" s="2855">
        <v>0.1</v>
      </c>
      <c r="F100" s="2855">
        <v>15</v>
      </c>
    </row>
    <row r="101" spans="1:6" ht="24">
      <c r="A101" s="2855">
        <v>29</v>
      </c>
      <c r="B101" s="3475"/>
      <c r="C101" s="2829" t="s">
        <v>2707</v>
      </c>
      <c r="D101" s="2829" t="s">
        <v>2708</v>
      </c>
      <c r="E101" s="2855">
        <v>0.1</v>
      </c>
      <c r="F101" s="2855">
        <v>15</v>
      </c>
    </row>
    <row r="102" spans="1:6" ht="24">
      <c r="A102" s="2855">
        <v>30</v>
      </c>
      <c r="B102" s="3475"/>
      <c r="C102" s="2829" t="s">
        <v>2709</v>
      </c>
      <c r="D102" s="2829" t="s">
        <v>2710</v>
      </c>
      <c r="E102" s="2855">
        <v>0.1</v>
      </c>
      <c r="F102" s="2855">
        <v>15</v>
      </c>
    </row>
    <row r="103" spans="1:6" ht="24">
      <c r="A103" s="2855">
        <v>31</v>
      </c>
      <c r="B103" s="3475"/>
      <c r="C103" s="2829" t="s">
        <v>2711</v>
      </c>
      <c r="D103" s="2829" t="s">
        <v>2712</v>
      </c>
      <c r="E103" s="2855">
        <v>0.1</v>
      </c>
      <c r="F103" s="2855">
        <v>15</v>
      </c>
    </row>
    <row r="104" spans="1:6" ht="24">
      <c r="A104" s="2855">
        <v>32</v>
      </c>
      <c r="B104" s="3475"/>
      <c r="C104" s="2829" t="s">
        <v>2713</v>
      </c>
      <c r="D104" s="2829" t="s">
        <v>2714</v>
      </c>
      <c r="E104" s="2855">
        <v>0.1</v>
      </c>
      <c r="F104" s="2855">
        <v>15</v>
      </c>
    </row>
    <row r="105" spans="1:6" ht="24">
      <c r="A105" s="2855">
        <v>33</v>
      </c>
      <c r="B105" s="3475"/>
      <c r="C105" s="2829" t="s">
        <v>2715</v>
      </c>
      <c r="D105" s="2829" t="s">
        <v>2716</v>
      </c>
      <c r="E105" s="2855">
        <v>0.1</v>
      </c>
      <c r="F105" s="2855">
        <v>15</v>
      </c>
    </row>
    <row r="106" spans="1:6" ht="24">
      <c r="A106" s="2855">
        <v>34</v>
      </c>
      <c r="B106" s="3474"/>
      <c r="C106" s="2829" t="s">
        <v>2717</v>
      </c>
      <c r="D106" s="2829" t="s">
        <v>2718</v>
      </c>
      <c r="E106" s="2855">
        <v>0.1</v>
      </c>
      <c r="F106" s="2855">
        <v>15</v>
      </c>
    </row>
    <row r="107" spans="1:6" ht="36">
      <c r="A107" s="2855">
        <v>35</v>
      </c>
      <c r="B107" s="3473" t="s">
        <v>2719</v>
      </c>
      <c r="C107" s="2855" t="s">
        <v>2720</v>
      </c>
      <c r="D107" s="2829" t="s">
        <v>2721</v>
      </c>
      <c r="E107" s="2855">
        <v>0.15</v>
      </c>
      <c r="F107" s="2855">
        <v>20</v>
      </c>
    </row>
    <row r="108" spans="1:6" ht="24">
      <c r="A108" s="2855">
        <v>36</v>
      </c>
      <c r="B108" s="3475"/>
      <c r="C108" s="2855" t="s">
        <v>2722</v>
      </c>
      <c r="D108" s="2829" t="s">
        <v>2723</v>
      </c>
      <c r="E108" s="2855">
        <v>0.15</v>
      </c>
      <c r="F108" s="2855">
        <v>20</v>
      </c>
    </row>
    <row r="109" spans="1:6" ht="24">
      <c r="A109" s="2855">
        <v>37</v>
      </c>
      <c r="B109" s="3475"/>
      <c r="C109" s="2855" t="s">
        <v>2724</v>
      </c>
      <c r="D109" s="2829" t="s">
        <v>2725</v>
      </c>
      <c r="E109" s="2855">
        <v>0.15</v>
      </c>
      <c r="F109" s="2855">
        <v>20</v>
      </c>
    </row>
    <row r="110" spans="1:6" ht="24">
      <c r="A110" s="2855">
        <v>38</v>
      </c>
      <c r="B110" s="3475"/>
      <c r="C110" s="2855" t="s">
        <v>2726</v>
      </c>
      <c r="D110" s="2829" t="s">
        <v>2727</v>
      </c>
      <c r="E110" s="2855">
        <v>0.1</v>
      </c>
      <c r="F110" s="2855">
        <v>15</v>
      </c>
    </row>
    <row r="111" spans="1:6" ht="24">
      <c r="A111" s="2855">
        <v>39</v>
      </c>
      <c r="B111" s="3475"/>
      <c r="C111" s="2855" t="s">
        <v>2728</v>
      </c>
      <c r="D111" s="2829" t="s">
        <v>2729</v>
      </c>
      <c r="E111" s="2855">
        <v>0.1</v>
      </c>
      <c r="F111" s="2855">
        <v>15</v>
      </c>
    </row>
    <row r="112" spans="1:6" ht="24">
      <c r="A112" s="2855">
        <v>40</v>
      </c>
      <c r="B112" s="3474"/>
      <c r="C112" s="2855" t="s">
        <v>2730</v>
      </c>
      <c r="D112" s="2829" t="s">
        <v>2731</v>
      </c>
      <c r="E112" s="2855">
        <v>0.1</v>
      </c>
      <c r="F112" s="2855">
        <v>15</v>
      </c>
    </row>
    <row r="113" spans="1:6" ht="24">
      <c r="A113" s="2855">
        <v>41</v>
      </c>
      <c r="B113" s="3472" t="s">
        <v>2732</v>
      </c>
      <c r="C113" s="2855" t="s">
        <v>2733</v>
      </c>
      <c r="D113" s="2829" t="s">
        <v>2734</v>
      </c>
      <c r="E113" s="2855">
        <v>0.1</v>
      </c>
      <c r="F113" s="2855">
        <v>15</v>
      </c>
    </row>
    <row r="114" spans="1:6" ht="24">
      <c r="A114" s="2855">
        <v>42</v>
      </c>
      <c r="B114" s="3472"/>
      <c r="C114" s="2855" t="s">
        <v>2735</v>
      </c>
      <c r="D114" s="2829" t="s">
        <v>2736</v>
      </c>
      <c r="E114" s="2855">
        <v>0.1</v>
      </c>
      <c r="F114" s="2855">
        <v>15</v>
      </c>
    </row>
    <row r="115" spans="1:6" ht="24">
      <c r="A115" s="2855">
        <v>43</v>
      </c>
      <c r="B115" s="3472"/>
      <c r="C115" s="2855" t="s">
        <v>2737</v>
      </c>
      <c r="D115" s="2829" t="s">
        <v>2738</v>
      </c>
      <c r="E115" s="2855">
        <v>0.1</v>
      </c>
      <c r="F115" s="2855">
        <v>15</v>
      </c>
    </row>
    <row r="116" spans="1:6" ht="24">
      <c r="A116" s="2855">
        <v>44</v>
      </c>
      <c r="B116" s="3473" t="s">
        <v>2739</v>
      </c>
      <c r="C116" s="2855" t="s">
        <v>2740</v>
      </c>
      <c r="D116" s="2829" t="s">
        <v>2741</v>
      </c>
      <c r="E116" s="2855">
        <v>0.1</v>
      </c>
      <c r="F116" s="2855">
        <v>15</v>
      </c>
    </row>
    <row r="117" spans="1:6" ht="24">
      <c r="A117" s="2855">
        <v>45</v>
      </c>
      <c r="B117" s="3474"/>
      <c r="C117" s="2829" t="s">
        <v>2742</v>
      </c>
      <c r="D117" s="2829" t="s">
        <v>2743</v>
      </c>
      <c r="E117" s="2855">
        <v>0.1</v>
      </c>
      <c r="F117" s="2855">
        <v>15</v>
      </c>
    </row>
    <row r="118" spans="1:6" ht="24">
      <c r="A118" s="2855">
        <v>46</v>
      </c>
      <c r="B118" s="3473" t="s">
        <v>2744</v>
      </c>
      <c r="C118" s="2855" t="s">
        <v>2745</v>
      </c>
      <c r="D118" s="2829" t="s">
        <v>2746</v>
      </c>
      <c r="E118" s="2855">
        <v>0.1</v>
      </c>
      <c r="F118" s="2855">
        <v>15</v>
      </c>
    </row>
    <row r="119" spans="1:6" ht="24">
      <c r="A119" s="2855">
        <v>47</v>
      </c>
      <c r="B119" s="3474"/>
      <c r="C119" s="2855" t="s">
        <v>2747</v>
      </c>
      <c r="D119" s="2829" t="s">
        <v>2748</v>
      </c>
      <c r="E119" s="2855">
        <v>0.1</v>
      </c>
      <c r="F119" s="2855">
        <v>15</v>
      </c>
    </row>
    <row r="120" spans="1:6" ht="24">
      <c r="A120" s="2855">
        <v>48</v>
      </c>
      <c r="B120" s="3473" t="s">
        <v>2749</v>
      </c>
      <c r="C120" s="2855" t="s">
        <v>2750</v>
      </c>
      <c r="D120" s="2829" t="s">
        <v>2751</v>
      </c>
      <c r="E120" s="2855">
        <v>0.1</v>
      </c>
      <c r="F120" s="2855">
        <v>15</v>
      </c>
    </row>
    <row r="121" spans="1:6" ht="24">
      <c r="A121" s="2855">
        <v>49</v>
      </c>
      <c r="B121" s="3474"/>
      <c r="C121" s="2855" t="s">
        <v>2752</v>
      </c>
      <c r="D121" s="2829" t="s">
        <v>2753</v>
      </c>
      <c r="E121" s="2855">
        <v>0.1</v>
      </c>
      <c r="F121" s="2855">
        <v>15</v>
      </c>
    </row>
    <row r="122" spans="1:6" ht="24">
      <c r="A122" s="2855">
        <v>50</v>
      </c>
      <c r="B122" s="3472" t="s">
        <v>2754</v>
      </c>
      <c r="C122" s="2855" t="s">
        <v>2755</v>
      </c>
      <c r="D122" s="2829" t="s">
        <v>2756</v>
      </c>
      <c r="E122" s="2855">
        <v>0.1</v>
      </c>
      <c r="F122" s="2855">
        <v>15</v>
      </c>
    </row>
    <row r="123" spans="1:6" ht="24">
      <c r="A123" s="2855">
        <v>51</v>
      </c>
      <c r="B123" s="3472"/>
      <c r="C123" s="2855" t="s">
        <v>2757</v>
      </c>
      <c r="D123" s="2829" t="s">
        <v>2758</v>
      </c>
      <c r="E123" s="2855">
        <v>0.1</v>
      </c>
      <c r="F123" s="2855">
        <v>15</v>
      </c>
    </row>
    <row r="124" spans="1:6" ht="24">
      <c r="A124" s="2855">
        <v>52</v>
      </c>
      <c r="B124" s="3472" t="s">
        <v>2759</v>
      </c>
      <c r="C124" s="2855" t="s">
        <v>2760</v>
      </c>
      <c r="D124" s="2829" t="s">
        <v>2761</v>
      </c>
      <c r="E124" s="2855">
        <v>0.1</v>
      </c>
      <c r="F124" s="2855">
        <v>15</v>
      </c>
    </row>
    <row r="125" spans="1:6" ht="24">
      <c r="A125" s="2855">
        <v>53</v>
      </c>
      <c r="B125" s="3472"/>
      <c r="C125" s="2855" t="s">
        <v>2762</v>
      </c>
      <c r="D125" s="2829" t="s">
        <v>2763</v>
      </c>
      <c r="E125" s="2855">
        <v>0.1</v>
      </c>
      <c r="F125" s="2855">
        <v>15</v>
      </c>
    </row>
    <row r="126" spans="1:6" ht="24">
      <c r="A126" s="2855">
        <v>54</v>
      </c>
      <c r="B126" s="2855" t="s">
        <v>2764</v>
      </c>
      <c r="C126" s="2855" t="s">
        <v>2765</v>
      </c>
      <c r="D126" s="2829" t="s">
        <v>2766</v>
      </c>
      <c r="E126" s="2855">
        <v>0.1</v>
      </c>
      <c r="F126" s="2855">
        <v>15</v>
      </c>
    </row>
    <row r="127" spans="1:6" ht="24">
      <c r="A127" s="2855">
        <v>55</v>
      </c>
      <c r="B127" s="3472" t="s">
        <v>2767</v>
      </c>
      <c r="C127" s="2855" t="s">
        <v>2768</v>
      </c>
      <c r="D127" s="2829" t="s">
        <v>2769</v>
      </c>
      <c r="E127" s="2855">
        <v>0.1</v>
      </c>
      <c r="F127" s="2855">
        <v>15</v>
      </c>
    </row>
    <row r="128" spans="1:6" ht="24">
      <c r="A128" s="2855">
        <v>56</v>
      </c>
      <c r="B128" s="3472"/>
      <c r="C128" s="2855" t="s">
        <v>2770</v>
      </c>
      <c r="D128" s="2829" t="s">
        <v>2771</v>
      </c>
      <c r="E128" s="2855">
        <v>0.1</v>
      </c>
      <c r="F128" s="2855">
        <v>15</v>
      </c>
    </row>
    <row r="129" spans="1:6" ht="24">
      <c r="A129" s="2855">
        <v>57</v>
      </c>
      <c r="B129" s="3472"/>
      <c r="C129" s="2855" t="s">
        <v>2772</v>
      </c>
      <c r="D129" s="2829" t="s">
        <v>2773</v>
      </c>
      <c r="E129" s="2855">
        <v>0.1</v>
      </c>
      <c r="F129" s="2855">
        <v>15</v>
      </c>
    </row>
    <row r="130" spans="1:6" ht="24">
      <c r="A130" s="2855">
        <v>58</v>
      </c>
      <c r="B130" s="3472" t="s">
        <v>2774</v>
      </c>
      <c r="C130" s="2855" t="s">
        <v>2775</v>
      </c>
      <c r="D130" s="2829" t="s">
        <v>2776</v>
      </c>
      <c r="E130" s="2855">
        <v>0.1</v>
      </c>
      <c r="F130" s="2855">
        <v>15</v>
      </c>
    </row>
    <row r="131" spans="1:6" ht="24">
      <c r="A131" s="2855">
        <v>59</v>
      </c>
      <c r="B131" s="3472"/>
      <c r="C131" s="2855" t="s">
        <v>2777</v>
      </c>
      <c r="D131" s="2829" t="s">
        <v>2778</v>
      </c>
      <c r="E131" s="2855">
        <v>0.1</v>
      </c>
      <c r="F131" s="2855">
        <v>15</v>
      </c>
    </row>
    <row r="132" spans="1:6" ht="24">
      <c r="A132" s="2855">
        <v>60</v>
      </c>
      <c r="B132" s="3473" t="s">
        <v>2779</v>
      </c>
      <c r="C132" s="2855" t="s">
        <v>2780</v>
      </c>
      <c r="D132" s="2829" t="s">
        <v>2781</v>
      </c>
      <c r="E132" s="2855">
        <v>0.1</v>
      </c>
      <c r="F132" s="2855">
        <v>15</v>
      </c>
    </row>
    <row r="133" spans="1:6" ht="24">
      <c r="A133" s="2855">
        <v>61</v>
      </c>
      <c r="B133" s="3474"/>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24">
      <c r="A135" s="2855">
        <v>63</v>
      </c>
      <c r="B135" s="3472" t="s">
        <v>2787</v>
      </c>
      <c r="C135" s="2855" t="s">
        <v>2788</v>
      </c>
      <c r="D135" s="2829" t="s">
        <v>2789</v>
      </c>
      <c r="E135" s="2855">
        <v>0.1</v>
      </c>
      <c r="F135" s="2855">
        <v>15</v>
      </c>
    </row>
    <row r="136" spans="1:6" ht="24">
      <c r="A136" s="2855">
        <v>64</v>
      </c>
      <c r="B136" s="3472"/>
      <c r="C136" s="2855" t="s">
        <v>2790</v>
      </c>
      <c r="D136" s="2829" t="s">
        <v>2791</v>
      </c>
      <c r="E136" s="2855">
        <v>0.1</v>
      </c>
      <c r="F136" s="2855">
        <v>15</v>
      </c>
    </row>
    <row r="137" spans="1:6" ht="24">
      <c r="A137" s="2855">
        <v>65</v>
      </c>
      <c r="B137" s="2855" t="s">
        <v>2792</v>
      </c>
      <c r="C137" s="2855" t="s">
        <v>2793</v>
      </c>
      <c r="D137" s="2829" t="s">
        <v>2794</v>
      </c>
      <c r="E137" s="2855">
        <v>0.1</v>
      </c>
      <c r="F137" s="2855">
        <v>15</v>
      </c>
    </row>
    <row r="138" spans="1:6" ht="14.4">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结果表!H101</f>
        <v>153</v>
      </c>
    </row>
    <row r="6" spans="1:5" ht="15.6">
      <c r="B6" s="3169"/>
      <c r="C6" s="1392" t="s">
        <v>911</v>
      </c>
      <c r="D6" s="797" t="str">
        <f ca="1">NUMBERSTRING(INT(D5*10000),2)&amp;"元整"</f>
        <v>壹佰伍拾叁万元整</v>
      </c>
    </row>
    <row r="7" spans="1:5" ht="15.6">
      <c r="B7" s="3174"/>
      <c r="C7" s="1393" t="s">
        <v>912</v>
      </c>
      <c r="D7" s="798">
        <f ca="1">结果表!H102</f>
        <v>8977</v>
      </c>
    </row>
    <row r="8" spans="1:5" ht="15.6">
      <c r="B8" s="3175" t="str">
        <f>结果表!E103</f>
        <v>2.估价师知悉的法定优先受偿款</v>
      </c>
      <c r="C8" s="1394" t="s">
        <v>913</v>
      </c>
      <c r="D8" s="798">
        <f>结果表!H103</f>
        <v>0</v>
      </c>
    </row>
    <row r="9" spans="1:5" ht="15.6">
      <c r="B9" s="317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8" t="str">
        <f>结果表!E107</f>
        <v>3.房地产抵押价值</v>
      </c>
      <c r="C13" s="1397" t="s">
        <v>910</v>
      </c>
      <c r="D13" s="800">
        <f ca="1">结果表!H107</f>
        <v>153</v>
      </c>
    </row>
    <row r="14" spans="1:5" ht="15.6">
      <c r="B14" s="3169"/>
      <c r="C14" s="1392" t="s">
        <v>911</v>
      </c>
      <c r="D14" s="797" t="str">
        <f ca="1">NUMBERSTRING(INT(D13*10000),2)&amp;"元整"</f>
        <v>壹佰伍拾叁万元整</v>
      </c>
    </row>
    <row r="15" spans="1:5" ht="15.6">
      <c r="B15" s="3174"/>
      <c r="C15" s="1393" t="s">
        <v>921</v>
      </c>
      <c r="D15" s="806">
        <f ca="1">结果表!H108</f>
        <v>8977</v>
      </c>
    </row>
    <row r="16" spans="1:5" ht="15.6">
      <c r="B16" s="3175" t="str">
        <f>结果表!E109</f>
        <v>——</v>
      </c>
      <c r="C16" s="1397" t="s">
        <v>922</v>
      </c>
      <c r="D16" s="1398" t="str">
        <f>结果表!H109</f>
        <v>——</v>
      </c>
    </row>
    <row r="17" spans="1:5" ht="15.6">
      <c r="B17" s="3176"/>
      <c r="C17" s="1392" t="s">
        <v>923</v>
      </c>
      <c r="D17" s="797" t="e">
        <f>NUMBERSTRING(INT(D16*10000),2)&amp;"元整"</f>
        <v>#VALUE!</v>
      </c>
    </row>
    <row r="18" spans="1:5" ht="15.6">
      <c r="B18" s="3177"/>
      <c r="C18" s="1393" t="s">
        <v>912</v>
      </c>
      <c r="D18" s="806" t="str">
        <f>结果表!H110</f>
        <v>——</v>
      </c>
    </row>
    <row r="19" spans="1:5" ht="15.6">
      <c r="B19" s="3168" t="str">
        <f>结果表!E111</f>
        <v>——</v>
      </c>
      <c r="C19" s="1397" t="s">
        <v>910</v>
      </c>
      <c r="D19" s="798" t="str">
        <f>结果表!H111</f>
        <v>——</v>
      </c>
    </row>
    <row r="20" spans="1:5" ht="15.6">
      <c r="B20" s="3169"/>
      <c r="C20" s="1392" t="s">
        <v>923</v>
      </c>
      <c r="D20" s="797" t="e">
        <f>NUMBERSTRING(INT(D19*10000),2)&amp;"元整"</f>
        <v>#VALUE!</v>
      </c>
    </row>
    <row r="21" spans="1:5" ht="16.2" thickBot="1">
      <c r="B21" s="317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1</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0.9103</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26453</v>
      </c>
      <c r="C2" s="2" t="s">
        <v>106</v>
      </c>
      <c r="D2" s="191"/>
      <c r="E2" s="191"/>
      <c r="F2" s="191"/>
      <c r="G2" s="191"/>
    </row>
    <row r="3" spans="1:7" s="192" customFormat="1" ht="18" customHeight="1" thickBot="1">
      <c r="A3" s="195" t="s">
        <v>58</v>
      </c>
      <c r="B3" s="196">
        <f ca="1">ROUND(B2*10000/'数据-汇总表'!E3,0)</f>
        <v>1549950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3</v>
      </c>
      <c r="D10" s="795">
        <f>'数据-汇总表'!E6</f>
        <v>170.67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170.67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26400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170.67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73</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53</v>
      </c>
      <c r="D51" s="224"/>
      <c r="E51" s="224"/>
      <c r="F51" s="256"/>
      <c r="G51" s="226" t="s">
        <v>37</v>
      </c>
    </row>
    <row r="52" spans="1:7" s="200" customFormat="1" ht="16.8" thickBot="1">
      <c r="A52" s="257" t="s">
        <v>38</v>
      </c>
      <c r="B52" s="258"/>
      <c r="C52" s="259">
        <f ca="1">C31+C51</f>
        <v>26453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4" t="s">
        <v>3179</v>
      </c>
      <c r="B1" s="3484"/>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5" t="s">
        <v>3230</v>
      </c>
      <c r="B1" s="3485"/>
      <c r="C1" s="3485"/>
      <c r="D1" s="3485"/>
      <c r="E1" s="3485"/>
      <c r="F1" s="3486"/>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45806</v>
      </c>
      <c r="B1" s="2927" t="s">
        <v>3374</v>
      </c>
      <c r="C1" s="2928"/>
      <c r="D1" s="2928"/>
      <c r="E1" s="2928"/>
      <c r="F1" s="2928"/>
      <c r="G1" s="2928"/>
      <c r="H1" s="2928"/>
      <c r="I1" s="2928"/>
      <c r="J1" s="2894"/>
      <c r="K1" s="2928" t="s">
        <v>454</v>
      </c>
      <c r="L1" s="2928"/>
      <c r="M1" s="2928"/>
      <c r="N1" s="2928"/>
      <c r="O1" s="2928"/>
      <c r="P1" s="2928"/>
      <c r="Q1" s="2894"/>
      <c r="R1" s="3487" t="s">
        <v>456</v>
      </c>
      <c r="S1" s="3488"/>
      <c r="T1" s="3488"/>
      <c r="U1" s="3488"/>
      <c r="V1" s="3488"/>
      <c r="W1" s="3488"/>
      <c r="X1" s="2894"/>
      <c r="Y1" s="3487" t="s">
        <v>457</v>
      </c>
      <c r="Z1" s="3488"/>
      <c r="AA1" s="3488"/>
      <c r="AB1" s="3488"/>
      <c r="AC1" s="3488"/>
      <c r="AD1" s="3488"/>
    </row>
    <row r="2" spans="1:44" s="2010" customFormat="1" ht="1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2817</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5" customFormat="1" ht="13.2">
      <c r="A20" s="2903" t="s">
        <v>2818</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5" customFormat="1" ht="13.2">
      <c r="A21" s="2903" t="s">
        <v>2819</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5" customFormat="1" ht="13.2">
      <c r="A22" s="2903" t="s">
        <v>2820</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5" customFormat="1" ht="13.2">
      <c r="A23" s="2903" t="s">
        <v>2821</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6" customFormat="1" ht="1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3377</v>
      </c>
    </row>
    <row r="27" spans="1:44">
      <c r="I27" s="1405" t="s">
        <v>2823</v>
      </c>
    </row>
    <row r="29" spans="1:44" s="2009" customFormat="1" ht="13.2">
      <c r="B29" s="2927" t="s">
        <v>3375</v>
      </c>
      <c r="C29" s="2928"/>
      <c r="D29" s="2928"/>
      <c r="E29" s="2928"/>
      <c r="F29" s="2928"/>
      <c r="G29" s="2928"/>
      <c r="H29" s="2928"/>
      <c r="I29" s="2928"/>
      <c r="J29" s="2894"/>
      <c r="K29" s="2928" t="s">
        <v>2824</v>
      </c>
      <c r="L29" s="2928"/>
      <c r="M29" s="2928"/>
      <c r="N29" s="2928"/>
      <c r="O29" s="2928"/>
      <c r="P29" s="2928"/>
      <c r="Q29" s="2894"/>
      <c r="R29" s="3487" t="s">
        <v>2825</v>
      </c>
      <c r="S29" s="3488"/>
      <c r="T29" s="3488"/>
      <c r="U29" s="3488"/>
      <c r="V29" s="3488"/>
      <c r="W29" s="3488"/>
      <c r="X29" s="2894"/>
      <c r="Y29" s="3487" t="s">
        <v>2826</v>
      </c>
      <c r="Z29" s="3488"/>
      <c r="AA29" s="3488"/>
      <c r="AB29" s="3488"/>
      <c r="AC29" s="3488"/>
      <c r="AD29" s="3488"/>
    </row>
    <row r="30" spans="1:44" s="2010" customFormat="1" ht="15" thickBot="1">
      <c r="B30" s="2879"/>
      <c r="C30" s="2880"/>
      <c r="D30" s="2011" t="s">
        <v>2827</v>
      </c>
      <c r="E30" s="2012" t="s">
        <v>2828</v>
      </c>
      <c r="F30" s="2012" t="s">
        <v>2829</v>
      </c>
      <c r="G30" s="2012" t="s">
        <v>2830</v>
      </c>
      <c r="H30" s="2012"/>
      <c r="I30" s="2012" t="s">
        <v>2831</v>
      </c>
      <c r="J30" s="2881"/>
      <c r="K30" s="2011" t="s">
        <v>2827</v>
      </c>
      <c r="L30" s="2012" t="s">
        <v>2828</v>
      </c>
      <c r="M30" s="2012" t="s">
        <v>2829</v>
      </c>
      <c r="N30" s="2012" t="s">
        <v>2830</v>
      </c>
      <c r="O30" s="2012"/>
      <c r="P30" s="2012" t="s">
        <v>2831</v>
      </c>
      <c r="Q30" s="2881"/>
      <c r="R30" s="2011" t="s">
        <v>2827</v>
      </c>
      <c r="S30" s="2012" t="s">
        <v>2828</v>
      </c>
      <c r="T30" s="2012" t="s">
        <v>2829</v>
      </c>
      <c r="U30" s="2012" t="s">
        <v>2830</v>
      </c>
      <c r="V30" s="2012"/>
      <c r="W30" s="2012" t="s">
        <v>2831</v>
      </c>
      <c r="X30" s="2881"/>
      <c r="Y30" s="2011" t="s">
        <v>2827</v>
      </c>
      <c r="Z30" s="2012" t="s">
        <v>2828</v>
      </c>
      <c r="AA30" s="2012" t="s">
        <v>2829</v>
      </c>
      <c r="AB30" s="2012" t="s">
        <v>2830</v>
      </c>
      <c r="AC30" s="2012"/>
      <c r="AD30" s="2012" t="s">
        <v>2831</v>
      </c>
      <c r="AG30" t="s">
        <v>673</v>
      </c>
      <c r="AH30" t="s">
        <v>21</v>
      </c>
      <c r="AI30" t="s">
        <v>3402</v>
      </c>
      <c r="AJ30"/>
      <c r="AK30" t="s">
        <v>3403</v>
      </c>
      <c r="AN30" t="s">
        <v>673</v>
      </c>
      <c r="AO30" t="s">
        <v>21</v>
      </c>
      <c r="AP30" t="s">
        <v>3402</v>
      </c>
      <c r="AQ30"/>
      <c r="AR30" t="s">
        <v>3403</v>
      </c>
    </row>
    <row r="31" spans="1:44" s="2884" customFormat="1" ht="13.2">
      <c r="A31" s="2882" t="s">
        <v>2832</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5" customFormat="1" ht="13.2">
      <c r="A48" s="2903" t="s">
        <v>2833</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5" customFormat="1" ht="13.2">
      <c r="A49" s="2903" t="s">
        <v>2834</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5" customFormat="1" ht="13.2">
      <c r="A50" s="2903" t="s">
        <v>2835</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5" customFormat="1" ht="13.2">
      <c r="A51" s="2903" t="s">
        <v>2836</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6" customFormat="1" ht="1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0" t="s">
        <v>2837</v>
      </c>
      <c r="B1" s="3500"/>
      <c r="C1" s="3500"/>
      <c r="D1" s="3500"/>
      <c r="E1" s="3500"/>
      <c r="F1" s="3500"/>
      <c r="G1" s="3501"/>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98"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499"/>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30">
      <c r="A4" s="1403" t="str">
        <f>项目基本情况!S2</f>
        <v>北京市密云县阳光街783幢房地产</v>
      </c>
      <c r="B4" s="801">
        <f>项目基本情况!C17</f>
        <v>170.67</v>
      </c>
      <c r="C4" s="801">
        <f>项目基本情况!C18</f>
        <v>0</v>
      </c>
      <c r="D4" s="801">
        <f>结果表!D118</f>
        <v>0</v>
      </c>
      <c r="E4" s="801">
        <f>结果表!E118</f>
        <v>0</v>
      </c>
      <c r="F4" s="801">
        <f>结果表!F118</f>
        <v>0</v>
      </c>
      <c r="G4" s="801">
        <f>结果表!G118</f>
        <v>0</v>
      </c>
      <c r="H4" s="801">
        <f ca="1">结果表!H118</f>
        <v>153</v>
      </c>
      <c r="I4" s="801">
        <f ca="1">结果表!I118</f>
        <v>8977</v>
      </c>
    </row>
    <row r="5" spans="1:9" ht="30" customHeight="1">
      <c r="A5" s="3181" t="s">
        <v>927</v>
      </c>
      <c r="B5" s="3181"/>
      <c r="C5" s="3181"/>
      <c r="D5" s="3181" t="str">
        <f>结果表!D119</f>
        <v>零元整</v>
      </c>
      <c r="E5" s="3181"/>
      <c r="F5" s="3181" t="str">
        <f>结果表!F119</f>
        <v>零元整</v>
      </c>
      <c r="G5" s="3181"/>
      <c r="H5" s="3181" t="str">
        <f ca="1">结果表!H119</f>
        <v>壹佰伍拾叁万元整</v>
      </c>
      <c r="I5" s="3181"/>
    </row>
    <row r="6" spans="1:9" ht="15.6">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6">
      <c r="A8" s="3180" t="str">
        <f>结果表!A122</f>
        <v>房地产抵押价值</v>
      </c>
      <c r="B8" s="3180"/>
      <c r="C8" s="3180"/>
      <c r="D8" s="3180">
        <f ca="1">结果表!D122</f>
        <v>153</v>
      </c>
      <c r="E8" s="3180"/>
      <c r="F8" s="3180"/>
      <c r="G8" s="3180"/>
      <c r="H8" s="3180"/>
      <c r="I8" s="3180"/>
    </row>
    <row r="9" spans="1:9" ht="15">
      <c r="A9" s="3181" t="s">
        <v>927</v>
      </c>
      <c r="B9" s="3181"/>
      <c r="C9" s="3181"/>
      <c r="D9" s="3181" t="str">
        <f ca="1">结果表!D123</f>
        <v>壹佰伍拾叁万元整</v>
      </c>
      <c r="E9" s="3181"/>
      <c r="F9" s="3181"/>
      <c r="G9" s="3181"/>
      <c r="H9" s="3181"/>
      <c r="I9" s="3181"/>
    </row>
    <row r="10" spans="1:9" ht="15.6">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6">
      <c r="A12" s="3180" t="str">
        <f>结果表!A126</f>
        <v/>
      </c>
      <c r="B12" s="3180"/>
      <c r="C12" s="3180"/>
      <c r="D12" s="3180" t="str">
        <f>结果表!D126</f>
        <v>——</v>
      </c>
      <c r="E12" s="3180"/>
      <c r="F12" s="3180"/>
      <c r="G12" s="3180"/>
      <c r="H12" s="3180"/>
      <c r="I12" s="3180"/>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45807</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2158</v>
      </c>
      <c r="B17" s="3204"/>
      <c r="C17" s="3204"/>
      <c r="D17" s="3204"/>
      <c r="E17" s="3204"/>
      <c r="F17" s="3204"/>
      <c r="G17" s="3204"/>
      <c r="H17" s="3204"/>
    </row>
    <row r="18" spans="1:8" ht="24" customHeight="1">
      <c r="A18" s="3205" t="s">
        <v>2159</v>
      </c>
      <c r="B18" s="3205"/>
      <c r="C18" s="3205"/>
      <c r="D18" s="2160"/>
      <c r="E18" s="3206" t="s">
        <v>2160</v>
      </c>
      <c r="F18" s="3205"/>
      <c r="G18" s="3205"/>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收益法</vt:lpstr>
      <vt:lpstr>租赁合同</vt:lpstr>
      <vt:lpstr>信息</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2025-05-30T07:11:22Z</dcterms:modified>
</cp:coreProperties>
</file>