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71-F01橡树湾-吴琼-北京银行\"/>
    </mc:Choice>
  </mc:AlternateContent>
  <xr:revisionPtr revIDLastSave="0" documentId="13_ncr:1_{821FE7E9-19AE-4045-A7F8-DF4563734B6A}" xr6:coauthVersionLast="47" xr6:coauthVersionMax="47" xr10:uidLastSave="{00000000-0000-0000-0000-000000000000}"/>
  <bookViews>
    <workbookView xWindow="-110" yWindow="-110" windowWidth="25820" windowHeight="1402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sheetId="33" r:id="rId40"/>
    <sheet name="收益法 (元)" sheetId="67" r:id="rId41"/>
    <sheet name="比较法-商业租金" sheetId="82" r:id="rId42"/>
    <sheet name="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'比较法-商业'!$A$1:$L$49</definedName>
    <definedName name="_xlnm._FilterDatabase" localSheetId="41"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'比较法-商业'!$A$1:$K$54,'比较法-商业'!$A$57:$M$131</definedName>
    <definedName name="_xlnm.Print_Area" localSheetId="41">'比较法-商业租金'!$A$1:$K$54,'比较法-商业租金'!$A$57:$M$131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1">'比较法-商业租金'!$B$116:$M$116</definedName>
    <definedName name="商业层高">'比较法-商业'!$B$116:$M$116</definedName>
    <definedName name="商业成新度" localSheetId="41">'比较法-商业租金'!$B$109:$M$109</definedName>
    <definedName name="商业成新度">'比较法-商业'!$B$109:$M$109</definedName>
    <definedName name="商业繁华度">定义!$L$1:$L$6</definedName>
    <definedName name="商业公共部分装修" localSheetId="41">'比较法-商业租金'!$B$107:$M$107</definedName>
    <definedName name="商业公共部分装修">'比较法-商业'!$B$107:$M$107</definedName>
    <definedName name="商业基础设施水平" localSheetId="41">'比较法-商业租金'!$B$112:$M$112</definedName>
    <definedName name="商业基础设施水平">'比较法-商业'!$B$112:$M$112</definedName>
    <definedName name="商业建筑结构" localSheetId="41">'比较法-商业租金'!$B$105:$M$105</definedName>
    <definedName name="商业建筑结构">'比较法-商业'!$B$105:$M$105</definedName>
    <definedName name="商业交易情况" localSheetId="41">'比较法-商业租金'!$A$61:$M$61</definedName>
    <definedName name="商业交易情况">'比较法-商业'!$A$61:$M$61</definedName>
    <definedName name="商业街名称">修正!$C$73:$C$140</definedName>
    <definedName name="商业进深比" localSheetId="41">'比较法-商业租金'!$B$120:$M$120</definedName>
    <definedName name="商业进深比">'比较法-商业'!$B$120:$M$120</definedName>
    <definedName name="商业类型" localSheetId="41">'比较法-商业租金'!$B$100:$M$100</definedName>
    <definedName name="商业类型">'比较法-商业'!$B$100:$M$100</definedName>
    <definedName name="商业临街状况" localSheetId="41">'比较法-商业租金'!$B$86:$M$86</definedName>
    <definedName name="商业临街状况">'比较法-商业'!$B$86:$M$86</definedName>
    <definedName name="商业楼层" localSheetId="41">'比较法-商业租金'!$B$92:$M$92</definedName>
    <definedName name="商业楼层">'比较法-商业'!$B$92:$M$92</definedName>
    <definedName name="商业内部装修" localSheetId="41">'比较法-商业租金'!$B$122:$M$122</definedName>
    <definedName name="商业内部装修">'比较法-商业'!$B$122:$M$122</definedName>
    <definedName name="商业人流量" localSheetId="41">'比较法-商业租金'!$B$90:$M$90</definedName>
    <definedName name="商业人流量">'比较法-商业'!$B$90:$M$90</definedName>
    <definedName name="商业业态" localSheetId="41">'比较法-商业租金'!$B$114:$M$114</definedName>
    <definedName name="商业业态">'比较法-商业'!$B$114:$M$114</definedName>
    <definedName name="商业用途" localSheetId="4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I104" i="33" s="1"/>
  <c r="J104" i="33" s="1"/>
  <c r="K104" i="33" s="1"/>
  <c r="D104" i="33"/>
  <c r="I66" i="33"/>
  <c r="H66" i="33" s="1"/>
  <c r="G66" i="33" s="1"/>
  <c r="F66" i="33" s="1"/>
  <c r="E66" i="33" s="1"/>
  <c r="D66" i="33" s="1"/>
  <c r="C66" i="33" s="1"/>
  <c r="I51" i="82"/>
  <c r="E51" i="82"/>
  <c r="B130" i="82" l="1"/>
  <c r="F46" i="82" s="1"/>
  <c r="AA46" i="82" s="1"/>
  <c r="B128" i="82"/>
  <c r="F45" i="82" s="1"/>
  <c r="AA45" i="82" s="1"/>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D115" i="82"/>
  <c r="J38" i="82" s="1"/>
  <c r="AC38"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B98" i="82"/>
  <c r="J31" i="82" s="1"/>
  <c r="B96" i="82"/>
  <c r="J30" i="82" s="1"/>
  <c r="AC30" i="82" s="1"/>
  <c r="B94" i="82"/>
  <c r="B92" i="82"/>
  <c r="D91" i="82"/>
  <c r="E91" i="82" s="1"/>
  <c r="B90" i="82"/>
  <c r="F27" i="82" s="1"/>
  <c r="AA27" i="82" s="1"/>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J14" i="82" s="1"/>
  <c r="AC14" i="82" s="1"/>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J9" i="82" s="1"/>
  <c r="AC9" i="82" s="1"/>
  <c r="P49" i="82"/>
  <c r="O49" i="82"/>
  <c r="P48" i="82"/>
  <c r="K48" i="82"/>
  <c r="P47" i="82"/>
  <c r="Q46" i="82"/>
  <c r="Z46" i="82" s="1"/>
  <c r="J46" i="82"/>
  <c r="AC46" i="82" s="1"/>
  <c r="H46" i="82"/>
  <c r="AB46" i="82" s="1"/>
  <c r="Q45" i="82"/>
  <c r="Z45" i="82" s="1"/>
  <c r="H45" i="82"/>
  <c r="AB45" i="82" s="1"/>
  <c r="Q44" i="82"/>
  <c r="Z44" i="82" s="1"/>
  <c r="J44" i="82"/>
  <c r="AC44" i="82" s="1"/>
  <c r="H44" i="82"/>
  <c r="AB44" i="82" s="1"/>
  <c r="F44" i="82"/>
  <c r="AA44" i="82" s="1"/>
  <c r="Q43" i="82"/>
  <c r="Z43" i="82" s="1"/>
  <c r="J43" i="82"/>
  <c r="AC43" i="82" s="1"/>
  <c r="H43" i="82"/>
  <c r="AB43" i="82" s="1"/>
  <c r="Q42" i="82"/>
  <c r="Z42" i="82" s="1"/>
  <c r="H42" i="82"/>
  <c r="AB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F38" i="82"/>
  <c r="AA38" i="82" s="1"/>
  <c r="Q37" i="82"/>
  <c r="Z37" i="82" s="1"/>
  <c r="J37" i="82"/>
  <c r="AC37" i="82" s="1"/>
  <c r="H37" i="82"/>
  <c r="AB37" i="82" s="1"/>
  <c r="F37" i="82"/>
  <c r="AA37" i="82" s="1"/>
  <c r="Q36" i="82"/>
  <c r="Z36" i="82" s="1"/>
  <c r="W35" i="82"/>
  <c r="Q35" i="82"/>
  <c r="Z35" i="82" s="1"/>
  <c r="J35" i="82"/>
  <c r="AC35" i="82" s="1"/>
  <c r="H35" i="82"/>
  <c r="AB35" i="82" s="1"/>
  <c r="F35" i="82"/>
  <c r="AA35" i="82" s="1"/>
  <c r="Q34" i="82"/>
  <c r="Z34" i="82" s="1"/>
  <c r="J34" i="82"/>
  <c r="AC34" i="82" s="1"/>
  <c r="H34" i="82"/>
  <c r="AB34" i="82" s="1"/>
  <c r="F34" i="82"/>
  <c r="AA34" i="82" s="1"/>
  <c r="Q33" i="82"/>
  <c r="Z33" i="82" s="1"/>
  <c r="Q32" i="82"/>
  <c r="Z32" i="82" s="1"/>
  <c r="N32" i="82"/>
  <c r="Q31" i="82"/>
  <c r="Z31" i="82" s="1"/>
  <c r="N31" i="82"/>
  <c r="H31" i="82"/>
  <c r="AB31" i="82" s="1"/>
  <c r="F31" i="82"/>
  <c r="AA31" i="82" s="1"/>
  <c r="Q30" i="82"/>
  <c r="Z30" i="82" s="1"/>
  <c r="F30" i="82"/>
  <c r="AA30" i="82" s="1"/>
  <c r="Q29" i="82"/>
  <c r="Z29" i="82" s="1"/>
  <c r="J29" i="82"/>
  <c r="AC29" i="82" s="1"/>
  <c r="H29" i="82"/>
  <c r="AB29" i="82" s="1"/>
  <c r="F29" i="82"/>
  <c r="AA29" i="82" s="1"/>
  <c r="Q28" i="82"/>
  <c r="Z28" i="82" s="1"/>
  <c r="J28" i="82"/>
  <c r="AC28" i="82" s="1"/>
  <c r="H28" i="82"/>
  <c r="U28" i="82" s="1"/>
  <c r="F28" i="82"/>
  <c r="S28" i="82" s="1"/>
  <c r="Q27" i="82"/>
  <c r="Z27" i="82" s="1"/>
  <c r="J27" i="82"/>
  <c r="W27" i="82" s="1"/>
  <c r="Z26" i="82"/>
  <c r="W26" i="82"/>
  <c r="Q26" i="82"/>
  <c r="J26" i="82"/>
  <c r="AC26" i="82" s="1"/>
  <c r="H26" i="82"/>
  <c r="AB26" i="82" s="1"/>
  <c r="F26" i="82"/>
  <c r="AA26" i="82" s="1"/>
  <c r="Q25" i="82"/>
  <c r="Z25" i="82" s="1"/>
  <c r="J25" i="82"/>
  <c r="AC25" i="82" s="1"/>
  <c r="H25" i="82"/>
  <c r="U25" i="82" s="1"/>
  <c r="F25" i="82"/>
  <c r="S25" i="82" s="1"/>
  <c r="Q23" i="82"/>
  <c r="Z23" i="82" s="1"/>
  <c r="J23" i="82"/>
  <c r="AC23" i="82" s="1"/>
  <c r="H23" i="82"/>
  <c r="U23" i="82" s="1"/>
  <c r="F23" i="82"/>
  <c r="S23" i="82" s="1"/>
  <c r="C23" i="82"/>
  <c r="Q21" i="82"/>
  <c r="Z21" i="82" s="1"/>
  <c r="J21" i="82"/>
  <c r="AC21" i="82" s="1"/>
  <c r="H21" i="82"/>
  <c r="AB21" i="82" s="1"/>
  <c r="F21" i="82"/>
  <c r="S21" i="82" s="1"/>
  <c r="C21" i="82"/>
  <c r="Q19" i="82"/>
  <c r="Z19" i="82" s="1"/>
  <c r="J19" i="82"/>
  <c r="AC19" i="82" s="1"/>
  <c r="H19" i="82"/>
  <c r="U19" i="82" s="1"/>
  <c r="F19" i="82"/>
  <c r="S19" i="82" s="1"/>
  <c r="C19" i="82"/>
  <c r="AA17" i="82"/>
  <c r="Q17" i="82"/>
  <c r="Z17" i="82" s="1"/>
  <c r="J17" i="82"/>
  <c r="AC17" i="82" s="1"/>
  <c r="H17" i="82"/>
  <c r="AB17" i="82" s="1"/>
  <c r="F17" i="82"/>
  <c r="S17" i="82" s="1"/>
  <c r="C17" i="82"/>
  <c r="Q15" i="82"/>
  <c r="Z15" i="82" s="1"/>
  <c r="J15" i="82"/>
  <c r="AC15" i="82" s="1"/>
  <c r="F15" i="82"/>
  <c r="AA15" i="82" s="1"/>
  <c r="C15" i="82"/>
  <c r="Q14" i="82"/>
  <c r="Z14" i="82" s="1"/>
  <c r="F14" i="82"/>
  <c r="AA14" i="82" s="1"/>
  <c r="Q13" i="82"/>
  <c r="Z13" i="82" s="1"/>
  <c r="J13" i="82"/>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O49" i="33"/>
  <c r="N32" i="33" s="1"/>
  <c r="I13" i="33"/>
  <c r="N31" i="33"/>
  <c r="P18" i="1"/>
  <c r="J49" i="67"/>
  <c r="N19" i="1"/>
  <c r="N6" i="1" s="1"/>
  <c r="B21" i="1"/>
  <c r="E27" i="45"/>
  <c r="D2" i="82"/>
  <c r="I51" i="33" l="1"/>
  <c r="I47" i="33" s="1"/>
  <c r="G51" i="33"/>
  <c r="G47" i="33" s="1"/>
  <c r="E51" i="33"/>
  <c r="E47" i="33" s="1"/>
  <c r="O29" i="33"/>
  <c r="N35" i="33" s="1"/>
  <c r="C36" i="33"/>
  <c r="Y6" i="1"/>
  <c r="C36" i="82"/>
  <c r="AA23" i="82"/>
  <c r="AA25" i="82"/>
  <c r="I47" i="82"/>
  <c r="E47" i="82"/>
  <c r="I54" i="82" s="1"/>
  <c r="J54" i="82" s="1"/>
  <c r="S35" i="82"/>
  <c r="H9" i="82"/>
  <c r="AB9" i="82" s="1"/>
  <c r="H14" i="82"/>
  <c r="AB14" i="82" s="1"/>
  <c r="AA19" i="82"/>
  <c r="AA21" i="82"/>
  <c r="AB25" i="82"/>
  <c r="H30" i="82"/>
  <c r="AB30" i="82" s="1"/>
  <c r="J45" i="82"/>
  <c r="AC45" i="82" s="1"/>
  <c r="H15" i="82"/>
  <c r="AB15" i="82" s="1"/>
  <c r="AB19" i="82"/>
  <c r="U26" i="82"/>
  <c r="AA28" i="82"/>
  <c r="O29" i="82"/>
  <c r="N35" i="82" s="1"/>
  <c r="H38" i="82"/>
  <c r="AB38" i="82" s="1"/>
  <c r="E115" i="82"/>
  <c r="F115" i="82" s="1"/>
  <c r="G115" i="82" s="1"/>
  <c r="H115" i="82" s="1"/>
  <c r="I115" i="82" s="1"/>
  <c r="J115" i="82" s="1"/>
  <c r="K115" i="82" s="1"/>
  <c r="L115" i="82" s="1"/>
  <c r="M115" i="82" s="1"/>
  <c r="F43" i="82"/>
  <c r="AA43" i="82" s="1"/>
  <c r="S27" i="82"/>
  <c r="AA8" i="82"/>
  <c r="W8" i="82"/>
  <c r="F123" i="82"/>
  <c r="G123" i="82" s="1"/>
  <c r="H123" i="82" s="1"/>
  <c r="I123" i="82" s="1"/>
  <c r="J123" i="82" s="1"/>
  <c r="K123" i="82" s="1"/>
  <c r="L123" i="82" s="1"/>
  <c r="M123" i="82" s="1"/>
  <c r="F42" i="82"/>
  <c r="AA42" i="82" s="1"/>
  <c r="J42" i="82"/>
  <c r="AC42" i="82" s="1"/>
  <c r="AC27" i="82"/>
  <c r="AC13" i="82"/>
  <c r="W13" i="82"/>
  <c r="U21" i="82"/>
  <c r="W25" i="82"/>
  <c r="J32" i="82"/>
  <c r="H32" i="82"/>
  <c r="G101" i="82"/>
  <c r="H101" i="82" s="1"/>
  <c r="I101" i="82" s="1"/>
  <c r="J101" i="82" s="1"/>
  <c r="K101" i="82" s="1"/>
  <c r="L101" i="82" s="1"/>
  <c r="M101" i="82" s="1"/>
  <c r="F32" i="82"/>
  <c r="W11" i="82"/>
  <c r="S14" i="82"/>
  <c r="AB23" i="82"/>
  <c r="AB28" i="82"/>
  <c r="S9" i="82"/>
  <c r="U17" i="82"/>
  <c r="AB8" i="82"/>
  <c r="W15" i="82"/>
  <c r="F91" i="82"/>
  <c r="G91" i="82" s="1"/>
  <c r="H91" i="82" s="1"/>
  <c r="I91" i="82" s="1"/>
  <c r="J91" i="82" s="1"/>
  <c r="K91" i="82" s="1"/>
  <c r="L91" i="82" s="1"/>
  <c r="M91" i="82" s="1"/>
  <c r="H27" i="82"/>
  <c r="AC31" i="82"/>
  <c r="W31" i="82"/>
  <c r="U10" i="82"/>
  <c r="S15" i="82"/>
  <c r="U9" i="82"/>
  <c r="W10" i="82"/>
  <c r="S12" i="82"/>
  <c r="S13" i="82"/>
  <c r="U14" i="82"/>
  <c r="W9" i="82"/>
  <c r="S11" i="82"/>
  <c r="U12" i="82"/>
  <c r="U13" i="82"/>
  <c r="W14" i="82"/>
  <c r="S10" i="82"/>
  <c r="U11" i="82"/>
  <c r="W12" i="82"/>
  <c r="V47" i="82"/>
  <c r="W17" i="82"/>
  <c r="W19" i="82"/>
  <c r="W21" i="82"/>
  <c r="W23" i="82"/>
  <c r="S26" i="82"/>
  <c r="W28" i="82"/>
  <c r="W29" i="82"/>
  <c r="S34" i="82"/>
  <c r="W37" i="82"/>
  <c r="S39" i="82"/>
  <c r="U40" i="82"/>
  <c r="W41" i="82"/>
  <c r="S43" i="82"/>
  <c r="U44" i="82"/>
  <c r="W45" i="82"/>
  <c r="R47" i="82"/>
  <c r="S30" i="82"/>
  <c r="S31" i="82"/>
  <c r="U34" i="82"/>
  <c r="U35" i="82"/>
  <c r="S38" i="82"/>
  <c r="U39" i="82"/>
  <c r="W40" i="82"/>
  <c r="U43" i="82"/>
  <c r="W44" i="82"/>
  <c r="S46" i="82"/>
  <c r="G51" i="82"/>
  <c r="S29" i="82"/>
  <c r="U30" i="82"/>
  <c r="U31" i="82"/>
  <c r="W34" i="82"/>
  <c r="S37" i="82"/>
  <c r="U38" i="82"/>
  <c r="W39" i="82"/>
  <c r="S41" i="82"/>
  <c r="U42" i="82"/>
  <c r="W43" i="82"/>
  <c r="S45" i="82"/>
  <c r="U46" i="82"/>
  <c r="U29" i="82"/>
  <c r="W30" i="82"/>
  <c r="U37" i="82"/>
  <c r="W38" i="82"/>
  <c r="S40" i="82"/>
  <c r="U41" i="82"/>
  <c r="S44" i="82"/>
  <c r="U45" i="82"/>
  <c r="W46" i="82"/>
  <c r="D93" i="33"/>
  <c r="G14" i="73"/>
  <c r="F14" i="73"/>
  <c r="E14" i="73"/>
  <c r="I36" i="82" l="1"/>
  <c r="J36" i="82" s="1"/>
  <c r="G36" i="82"/>
  <c r="H36" i="82" s="1"/>
  <c r="E36" i="82"/>
  <c r="F36" i="82" s="1"/>
  <c r="D93" i="82"/>
  <c r="U15" i="82"/>
  <c r="I36" i="33"/>
  <c r="G36" i="33"/>
  <c r="E36" i="33"/>
  <c r="S42" i="82"/>
  <c r="W42" i="82"/>
  <c r="AB32" i="82"/>
  <c r="U32" i="82"/>
  <c r="AB27" i="82"/>
  <c r="U27" i="82"/>
  <c r="AC32" i="82"/>
  <c r="W32" i="82"/>
  <c r="G54" i="82"/>
  <c r="H54" i="82" s="1"/>
  <c r="T47" i="82"/>
  <c r="AA32" i="82"/>
  <c r="S32" i="82"/>
  <c r="E54" i="82"/>
  <c r="F54" i="82" s="1"/>
  <c r="I12" i="79"/>
  <c r="AA36" i="82" l="1"/>
  <c r="S36" i="82"/>
  <c r="AB36" i="82"/>
  <c r="U36" i="82"/>
  <c r="W36" i="82"/>
  <c r="AC36"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s="1"/>
  <c r="Q38" i="71"/>
  <c r="P38" i="71"/>
  <c r="AA38" i="71" s="1"/>
  <c r="O38" i="71"/>
  <c r="N38" i="71"/>
  <c r="Q37" i="71"/>
  <c r="AB37" i="71" s="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B35" i="71" s="1"/>
  <c r="B36" i="71" s="1"/>
  <c r="S36" i="71" s="1"/>
  <c r="B39" i="71"/>
  <c r="B40" i="71" s="1"/>
  <c r="S40" i="71" s="1"/>
  <c r="N68" i="71"/>
  <c r="E34" i="71"/>
  <c r="AA35" i="71"/>
  <c r="C38" i="71"/>
  <c r="D38" i="71" s="1"/>
  <c r="C28" i="71"/>
  <c r="T28" i="71" s="1"/>
  <c r="Y25" i="71"/>
  <c r="Z25" i="71" s="1"/>
  <c r="C43" i="71"/>
  <c r="C44" i="71" s="1"/>
  <c r="P28" i="71"/>
  <c r="E28" i="71" s="1"/>
  <c r="U68" i="71"/>
  <c r="E67" i="71"/>
  <c r="P67" i="71" s="1"/>
  <c r="Q28" i="71"/>
  <c r="AB27" i="71" s="1"/>
  <c r="C59" i="71"/>
  <c r="D58" i="71"/>
  <c r="D62" i="71"/>
  <c r="B66" i="71"/>
  <c r="N65" i="71" s="1"/>
  <c r="D68" i="71"/>
  <c r="Q68" i="71"/>
  <c r="C71" i="71"/>
  <c r="C70" i="71" s="1"/>
  <c r="D70" i="71" s="1"/>
  <c r="D72" i="71"/>
  <c r="E75" i="71"/>
  <c r="E74" i="71" s="1"/>
  <c r="C79" i="71"/>
  <c r="D79" i="71" s="1"/>
  <c r="E79" i="71"/>
  <c r="E78" i="71" s="1"/>
  <c r="D80" i="71"/>
  <c r="C83" i="71"/>
  <c r="D83" i="71" s="1"/>
  <c r="C87" i="71"/>
  <c r="C86" i="71" s="1"/>
  <c r="D86" i="71" s="1"/>
  <c r="F28" i="71"/>
  <c r="F27" i="71" s="1"/>
  <c r="F26" i="71" s="1"/>
  <c r="C82" i="71"/>
  <c r="D82" i="71" s="1"/>
  <c r="D71" i="71"/>
  <c r="C60" i="71"/>
  <c r="D60" i="71" s="1"/>
  <c r="D59"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W29" i="39"/>
  <c r="W18" i="36"/>
  <c r="S21" i="37"/>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F38" i="33"/>
  <c r="AA38" i="33" s="1"/>
  <c r="Q37" i="33"/>
  <c r="Z37" i="33"/>
  <c r="Q36" i="33"/>
  <c r="Z36" i="33"/>
  <c r="Q35" i="33"/>
  <c r="Z35" i="33"/>
  <c r="H35" i="33"/>
  <c r="AB35" i="33"/>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J44" i="21" s="1"/>
  <c r="AC44" i="21" s="1"/>
  <c r="B98" i="21"/>
  <c r="H31" i="21" s="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s="1"/>
  <c r="J36" i="39"/>
  <c r="AC36" i="39" s="1"/>
  <c r="W25"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J35" i="34"/>
  <c r="U34" i="34"/>
  <c r="H39" i="33"/>
  <c r="AB39" i="33" s="1"/>
  <c r="U35" i="33"/>
  <c r="S40" i="33"/>
  <c r="H39" i="37"/>
  <c r="AB39" i="37" s="1"/>
  <c r="S27" i="35"/>
  <c r="F11" i="40"/>
  <c r="AA11" i="40"/>
  <c r="H11" i="40"/>
  <c r="AB11" i="40" s="1"/>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W32" i="40"/>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J28" i="34"/>
  <c r="AC28" i="34" s="1"/>
  <c r="W28" i="34"/>
  <c r="F41" i="33"/>
  <c r="AA41" i="33" s="1"/>
  <c r="E113"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W35" i="40" s="1"/>
  <c r="J37" i="40"/>
  <c r="AC37" i="40" s="1"/>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30" i="21"/>
  <c r="AB46" i="34"/>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AZ554" i="3" s="1"/>
  <c r="BA552" i="3"/>
  <c r="AZ552" i="3" s="1"/>
  <c r="BA548" i="3"/>
  <c r="BA546" i="3"/>
  <c r="BA544" i="3"/>
  <c r="AZ544" i="3" s="1"/>
  <c r="BA542" i="3"/>
  <c r="BA540" i="3"/>
  <c r="BA538" i="3"/>
  <c r="BA536" i="3"/>
  <c r="AZ536" i="3"/>
  <c r="BA534" i="3"/>
  <c r="AZ534" i="3" s="1"/>
  <c r="BA532" i="3"/>
  <c r="AZ532" i="3" s="1"/>
  <c r="BA530" i="3"/>
  <c r="AZ530" i="3" s="1"/>
  <c r="BA528" i="3"/>
  <c r="BA526" i="3"/>
  <c r="BA524" i="3"/>
  <c r="AZ524" i="3" s="1"/>
  <c r="BA522" i="3"/>
  <c r="BA520" i="3"/>
  <c r="AZ520" i="3" s="1"/>
  <c r="BA518" i="3"/>
  <c r="BA516" i="3"/>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s="1"/>
  <c r="AZ533" i="3" s="1"/>
  <c r="BQ531" i="3"/>
  <c r="BL531" i="3" s="1"/>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s="1"/>
  <c r="J32" i="37"/>
  <c r="F36" i="37"/>
  <c r="AA36" i="37" s="1"/>
  <c r="F37" i="37"/>
  <c r="AA37" i="37" s="1"/>
  <c r="F31" i="40"/>
  <c r="H31" i="40"/>
  <c r="U31" i="40" s="1"/>
  <c r="F32" i="40"/>
  <c r="S32" i="40"/>
  <c r="H32" i="40"/>
  <c r="AB32" i="40" s="1"/>
  <c r="J36" i="40"/>
  <c r="W36" i="40" s="1"/>
  <c r="H19" i="37"/>
  <c r="J43" i="33"/>
  <c r="AC43" i="33" s="1"/>
  <c r="S28" i="31"/>
  <c r="S27" i="31"/>
  <c r="S26" i="31"/>
  <c r="U39" i="37"/>
  <c r="U26" i="37"/>
  <c r="W47" i="34"/>
  <c r="AC36" i="34"/>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G100" i="39"/>
  <c r="H37" i="39"/>
  <c r="U37" i="39" s="1"/>
  <c r="AC37" i="39"/>
  <c r="W37" i="39"/>
  <c r="H25" i="39"/>
  <c r="AB25" i="39" s="1"/>
  <c r="J25" i="39"/>
  <c r="F25" i="39"/>
  <c r="AA25" i="39" s="1"/>
  <c r="F15" i="39"/>
  <c r="AA15" i="39" s="1"/>
  <c r="H15" i="39"/>
  <c r="U15" i="39" s="1"/>
  <c r="J15" i="39"/>
  <c r="W15" i="39" s="1"/>
  <c r="H41" i="39"/>
  <c r="W27" i="39"/>
  <c r="AB34" i="39"/>
  <c r="U40" i="39"/>
  <c r="S42" i="39"/>
  <c r="AA41" i="39"/>
  <c r="W9" i="39"/>
  <c r="W8" i="39"/>
  <c r="J19" i="40"/>
  <c r="J50" i="40"/>
  <c r="H103" i="9"/>
  <c r="D8" i="53" s="1"/>
  <c r="C7" i="34"/>
  <c r="A118" i="9"/>
  <c r="J11" i="39"/>
  <c r="W11" i="39" s="1"/>
  <c r="F11" i="39"/>
  <c r="G4" i="4"/>
  <c r="I4" i="4"/>
  <c r="F61" i="43"/>
  <c r="H64" i="43" s="1"/>
  <c r="BL549" i="3"/>
  <c r="AZ549" i="3" s="1"/>
  <c r="AZ494" i="3"/>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AZ335" i="3" s="1"/>
  <c r="G336" i="3"/>
  <c r="BA338" i="3"/>
  <c r="BL339" i="3"/>
  <c r="AZ339" i="3" s="1"/>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AZ506" i="3"/>
  <c r="AZ496" i="3"/>
  <c r="G548" i="3"/>
  <c r="G538" i="3"/>
  <c r="G520" i="3"/>
  <c r="G502" i="3"/>
  <c r="BN5" i="3"/>
  <c r="BI5" i="3"/>
  <c r="BE5" i="3"/>
  <c r="G17" i="3"/>
  <c r="BA17" i="3"/>
  <c r="BT5" i="3"/>
  <c r="BA15" i="3"/>
  <c r="BB5" i="3"/>
  <c r="BR5" i="3"/>
  <c r="G509" i="3"/>
  <c r="BL493" i="3"/>
  <c r="U36" i="40"/>
  <c r="F83" i="43"/>
  <c r="H85" i="43" s="1"/>
  <c r="F50" i="43"/>
  <c r="H54" i="43" s="1"/>
  <c r="F72" i="43"/>
  <c r="H75" i="43" s="1"/>
  <c r="U17" i="39"/>
  <c r="S14" i="35"/>
  <c r="U43" i="21"/>
  <c r="U35" i="21"/>
  <c r="AC35" i="21"/>
  <c r="AC11" i="39"/>
  <c r="AZ501" i="3"/>
  <c r="W37" i="37"/>
  <c r="W44" i="34"/>
  <c r="AC44" i="34"/>
  <c r="S15" i="37"/>
  <c r="U13" i="37"/>
  <c r="AA12" i="40"/>
  <c r="J37" i="33"/>
  <c r="AC37" i="33" s="1"/>
  <c r="AC17" i="34"/>
  <c r="J34" i="33"/>
  <c r="W34" i="33" s="1"/>
  <c r="F33" i="34"/>
  <c r="S33" i="34" s="1"/>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27" i="3"/>
  <c r="AZ271" i="3"/>
  <c r="F23" i="39"/>
  <c r="AA23" i="39" s="1"/>
  <c r="H27" i="36"/>
  <c r="U27" i="36" s="1"/>
  <c r="F27" i="36"/>
  <c r="AA27" i="36" s="1"/>
  <c r="H33" i="34"/>
  <c r="U33" i="34" s="1"/>
  <c r="F32" i="37"/>
  <c r="S32" i="37" s="1"/>
  <c r="F20" i="36"/>
  <c r="AA20" i="36" s="1"/>
  <c r="J33" i="34"/>
  <c r="AC33" i="34" s="1"/>
  <c r="H23" i="39"/>
  <c r="U23" i="39" s="1"/>
  <c r="D48" i="9"/>
  <c r="M52" i="9" s="1"/>
  <c r="K9" i="1"/>
  <c r="M9" i="1" s="1"/>
  <c r="W27" i="34"/>
  <c r="AC27" i="34"/>
  <c r="AB34" i="36"/>
  <c r="AC12" i="39"/>
  <c r="W12" i="39"/>
  <c r="AC39" i="40"/>
  <c r="W39" i="40"/>
  <c r="AA32" i="36"/>
  <c r="S32" i="36"/>
  <c r="BL14" i="3"/>
  <c r="U30" i="33"/>
  <c r="AC13" i="34"/>
  <c r="W28" i="37"/>
  <c r="S19" i="39"/>
  <c r="F12" i="33"/>
  <c r="S12" i="33" s="1"/>
  <c r="H12" i="39"/>
  <c r="AB12" i="39" s="1"/>
  <c r="F39" i="40"/>
  <c r="AA39" i="40" s="1"/>
  <c r="BA14" i="3"/>
  <c r="AZ14" i="3" s="1"/>
  <c r="B12" i="1"/>
  <c r="E12" i="1" s="1"/>
  <c r="B10" i="1"/>
  <c r="E10" i="1" s="1"/>
  <c r="K12" i="1"/>
  <c r="M12" i="1" s="1"/>
  <c r="S13" i="1"/>
  <c r="AR13" i="1" s="1"/>
  <c r="R13" i="1"/>
  <c r="AB37" i="40"/>
  <c r="S35" i="40"/>
  <c r="U35" i="40"/>
  <c r="AC36"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S33" i="36"/>
  <c r="AA34" i="36"/>
  <c r="AC26" i="36"/>
  <c r="AA22"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W38" i="37"/>
  <c r="AC35" i="37"/>
  <c r="W39" i="37"/>
  <c r="S30" i="37"/>
  <c r="S37" i="37"/>
  <c r="AC15" i="37"/>
  <c r="J17" i="37"/>
  <c r="W17" i="37" s="1"/>
  <c r="G73" i="37"/>
  <c r="F17" i="37"/>
  <c r="F75" i="37"/>
  <c r="G75" i="37" s="1"/>
  <c r="F19" i="37"/>
  <c r="S19" i="37" s="1"/>
  <c r="F79" i="37"/>
  <c r="G79" i="37" s="1"/>
  <c r="F23" i="37"/>
  <c r="S23" i="37" s="1"/>
  <c r="U23" i="37"/>
  <c r="U15" i="37"/>
  <c r="AC13" i="37"/>
  <c r="H10" i="37"/>
  <c r="AB10" i="37" s="1"/>
  <c r="F63" i="37"/>
  <c r="F11" i="37"/>
  <c r="S11" i="37" s="1"/>
  <c r="W25" i="34"/>
  <c r="AB8" i="34"/>
  <c r="AA33" i="34"/>
  <c r="U43" i="34"/>
  <c r="AC42" i="34"/>
  <c r="AB35" i="34"/>
  <c r="U39" i="34"/>
  <c r="AA45" i="34"/>
  <c r="AA25" i="34"/>
  <c r="S17" i="34"/>
  <c r="AA29" i="34"/>
  <c r="U27" i="34"/>
  <c r="S23" i="34"/>
  <c r="U15" i="34"/>
  <c r="S13" i="34"/>
  <c r="H10" i="34"/>
  <c r="AB10" i="34" s="1"/>
  <c r="F11" i="34"/>
  <c r="S11" i="34" s="1"/>
  <c r="F70" i="34"/>
  <c r="G70" i="34" s="1"/>
  <c r="H70" i="34" s="1"/>
  <c r="I70" i="34" s="1"/>
  <c r="J70" i="34" s="1"/>
  <c r="K70" i="34" s="1"/>
  <c r="L70" i="34" s="1"/>
  <c r="M70" i="34" s="1"/>
  <c r="AA35" i="33"/>
  <c r="AB29" i="33"/>
  <c r="H41" i="33"/>
  <c r="U41" i="33" s="1"/>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W17" i="33" s="1"/>
  <c r="J10" i="33"/>
  <c r="W10" i="33" s="1"/>
  <c r="H10" i="33"/>
  <c r="U10" i="33" s="1"/>
  <c r="AC11" i="33"/>
  <c r="AB14" i="33"/>
  <c r="W43" i="21"/>
  <c r="W36" i="21"/>
  <c r="W41" i="21"/>
  <c r="AB39" i="21"/>
  <c r="AA43" i="21"/>
  <c r="S39" i="21"/>
  <c r="AA38" i="21"/>
  <c r="AA36" i="21"/>
  <c r="AC40" i="21"/>
  <c r="J15" i="21"/>
  <c r="W15" i="2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22" i="36"/>
  <c r="U25" i="35"/>
  <c r="S24" i="35"/>
  <c r="U24" i="35"/>
  <c r="W35" i="35"/>
  <c r="AA16" i="35"/>
  <c r="AA35" i="37"/>
  <c r="S27" i="37"/>
  <c r="S28" i="37"/>
  <c r="U36" i="37"/>
  <c r="S40" i="37"/>
  <c r="U38" i="37"/>
  <c r="AB37" i="37"/>
  <c r="AC34" i="37"/>
  <c r="AB35"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AA12" i="33"/>
  <c r="J32" i="39"/>
  <c r="H32" i="39"/>
  <c r="AB32" i="39" s="1"/>
  <c r="AA32" i="39"/>
  <c r="S32" i="39"/>
  <c r="AB21" i="39"/>
  <c r="U21" i="39"/>
  <c r="AA21" i="39"/>
  <c r="AC17" i="37"/>
  <c r="J19" i="37"/>
  <c r="W19" i="37" s="1"/>
  <c r="AA23" i="37"/>
  <c r="J23" i="37"/>
  <c r="W23" i="37" s="1"/>
  <c r="J10" i="37"/>
  <c r="W10" i="37" s="1"/>
  <c r="G63" i="37"/>
  <c r="H63" i="37" s="1"/>
  <c r="I63" i="37" s="1"/>
  <c r="H11" i="37"/>
  <c r="AB11" i="37" s="1"/>
  <c r="H11" i="34"/>
  <c r="U11" i="34" s="1"/>
  <c r="J10" i="34"/>
  <c r="AC10" i="34" s="1"/>
  <c r="AC35" i="33"/>
  <c r="J36" i="33"/>
  <c r="W36" i="33" s="1"/>
  <c r="H36" i="33"/>
  <c r="U36" i="33" s="1"/>
  <c r="J27" i="33"/>
  <c r="W27" i="33" s="1"/>
  <c r="J25" i="33"/>
  <c r="AC25" i="33" s="1"/>
  <c r="F23" i="33"/>
  <c r="H19" i="33"/>
  <c r="U19" i="33" s="1"/>
  <c r="G81" i="33"/>
  <c r="H17" i="33"/>
  <c r="U17" i="33" s="1"/>
  <c r="F17" i="33"/>
  <c r="S17" i="33" s="1"/>
  <c r="AA23" i="21"/>
  <c r="J23" i="21"/>
  <c r="AC23" i="21" s="1"/>
  <c r="F85" i="21"/>
  <c r="G85" i="21" s="1"/>
  <c r="H23" i="21"/>
  <c r="S13" i="21"/>
  <c r="D6" i="52"/>
  <c r="AP7" i="1"/>
  <c r="W9" i="21"/>
  <c r="AC9" i="21"/>
  <c r="AB32" i="21"/>
  <c r="U32" i="39"/>
  <c r="AC32" i="39"/>
  <c r="W32" i="39"/>
  <c r="J63" i="37"/>
  <c r="K63" i="37" s="1"/>
  <c r="L63" i="37" s="1"/>
  <c r="M63" i="37" s="1"/>
  <c r="J11" i="37"/>
  <c r="AC11" i="37" s="1"/>
  <c r="J11" i="34"/>
  <c r="W11" i="34" s="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F20" i="31"/>
  <c r="F6" i="73"/>
  <c r="D6" i="73"/>
  <c r="E8" i="76"/>
  <c r="B10" i="76"/>
  <c r="F40" i="67"/>
  <c r="M24" i="67"/>
  <c r="J15" i="67"/>
  <c r="AO13" i="1"/>
  <c r="F8" i="15"/>
  <c r="B11" i="76"/>
  <c r="F42" i="15"/>
  <c r="F16" i="67"/>
  <c r="F8" i="67"/>
  <c r="F36" i="67"/>
  <c r="B8" i="76"/>
  <c r="F5" i="73"/>
  <c r="M22" i="67"/>
  <c r="F42" i="67"/>
  <c r="F26" i="67"/>
  <c r="M8" i="67"/>
  <c r="F6" i="67"/>
  <c r="E11" i="76"/>
  <c r="F9" i="67"/>
  <c r="E2" i="69"/>
  <c r="C76" i="67"/>
  <c r="F38" i="67"/>
  <c r="E7" i="76"/>
  <c r="L47" i="67"/>
  <c r="M9" i="67"/>
  <c r="F3" i="73"/>
  <c r="M28" i="15"/>
  <c r="F37" i="67"/>
  <c r="B13" i="76"/>
  <c r="B9" i="76"/>
  <c r="B7" i="76"/>
  <c r="E13" i="76"/>
  <c r="F38" i="15"/>
  <c r="E2" i="68"/>
  <c r="L47" i="15"/>
  <c r="M23" i="67"/>
  <c r="F4" i="73"/>
  <c r="B12" i="76"/>
  <c r="E9" i="76"/>
  <c r="M8" i="15"/>
  <c r="M24" i="15"/>
  <c r="C76" i="15"/>
  <c r="E10" i="76"/>
  <c r="M26" i="67"/>
  <c r="M28" i="67"/>
  <c r="M6" i="67"/>
  <c r="F7" i="73"/>
  <c r="E12" i="76"/>
  <c r="C7" i="40" l="1"/>
  <c r="C63" i="40" s="1"/>
  <c r="C7" i="39"/>
  <c r="C67" i="39" s="1"/>
  <c r="C7" i="37"/>
  <c r="C52" i="37" s="1"/>
  <c r="D52" i="37" s="1"/>
  <c r="C7" i="21"/>
  <c r="C58" i="21" s="1"/>
  <c r="D58" i="21" s="1"/>
  <c r="C42" i="1"/>
  <c r="C24" i="12" s="1"/>
  <c r="G23" i="43"/>
  <c r="C23" i="43" s="1"/>
  <c r="C7" i="33"/>
  <c r="I7" i="33" s="1"/>
  <c r="C7" i="36"/>
  <c r="C46" i="36" s="1"/>
  <c r="D46" i="36" s="1"/>
  <c r="E46" i="36" s="1"/>
  <c r="F46" i="36" s="1"/>
  <c r="G46" i="36" s="1"/>
  <c r="H46" i="36" s="1"/>
  <c r="I46" i="36" s="1"/>
  <c r="AB32" i="37"/>
  <c r="U32" i="37"/>
  <c r="U20" i="35"/>
  <c r="AB20" i="35"/>
  <c r="U20" i="36"/>
  <c r="AB20" i="36"/>
  <c r="AB19" i="37"/>
  <c r="U19" i="37"/>
  <c r="U41" i="34"/>
  <c r="AB41" i="34"/>
  <c r="S26" i="36"/>
  <c r="AA26" i="36"/>
  <c r="AZ493" i="3"/>
  <c r="W26" i="33"/>
  <c r="AC26" i="33"/>
  <c r="AC38" i="40"/>
  <c r="W38" i="40"/>
  <c r="AC12" i="33"/>
  <c r="AA32" i="21"/>
  <c r="AB23" i="21"/>
  <c r="U23" i="21"/>
  <c r="S37" i="21"/>
  <c r="AC20" i="36"/>
  <c r="AA43" i="34"/>
  <c r="S43" i="34"/>
  <c r="AC32" i="37"/>
  <c r="W32" i="37"/>
  <c r="AB31" i="21"/>
  <c r="U31" i="21"/>
  <c r="U12" i="36"/>
  <c r="AB12" i="36"/>
  <c r="U15" i="21"/>
  <c r="AB15" i="21"/>
  <c r="AA31" i="37"/>
  <c r="AA17" i="37"/>
  <c r="S17" i="37"/>
  <c r="AZ377" i="3"/>
  <c r="AZ361" i="3"/>
  <c r="S11" i="39"/>
  <c r="AA11" i="39"/>
  <c r="AC19" i="40"/>
  <c r="W19" i="40"/>
  <c r="AB41" i="39"/>
  <c r="U41" i="39"/>
  <c r="AA31" i="40"/>
  <c r="S31" i="40"/>
  <c r="H44" i="39"/>
  <c r="F44" i="39"/>
  <c r="U19" i="34"/>
  <c r="W36" i="37"/>
  <c r="S35" i="35"/>
  <c r="AC25" i="35"/>
  <c r="S46" i="33"/>
  <c r="AA12" i="39"/>
  <c r="AA47" i="34"/>
  <c r="U12" i="40"/>
  <c r="AC5" i="3"/>
  <c r="AZ379" i="3"/>
  <c r="AZ369" i="3"/>
  <c r="AZ355" i="3"/>
  <c r="AZ342" i="3"/>
  <c r="AZ337" i="3"/>
  <c r="AZ325" i="3"/>
  <c r="AC45" i="33"/>
  <c r="AZ583" i="3"/>
  <c r="AZ558" i="3"/>
  <c r="AZ516" i="3"/>
  <c r="AZ576" i="3"/>
  <c r="AZ584" i="3"/>
  <c r="AZ542" i="3"/>
  <c r="S44" i="34"/>
  <c r="AA14" i="37"/>
  <c r="AA14" i="33"/>
  <c r="AA45" i="33"/>
  <c r="J34" i="36"/>
  <c r="W34" i="36" s="1"/>
  <c r="U9" i="39"/>
  <c r="F15" i="33"/>
  <c r="H38" i="33"/>
  <c r="U38" i="33" s="1"/>
  <c r="J12" i="36"/>
  <c r="AA15" i="21"/>
  <c r="U28" i="34"/>
  <c r="W41" i="34"/>
  <c r="AA13" i="37"/>
  <c r="AB17" i="37"/>
  <c r="AA38" i="37"/>
  <c r="AZ334" i="3"/>
  <c r="AZ381" i="3"/>
  <c r="AZ344" i="3"/>
  <c r="AZ327" i="3"/>
  <c r="AB33" i="40"/>
  <c r="AC31" i="33"/>
  <c r="AZ531" i="3"/>
  <c r="AZ573" i="3"/>
  <c r="AZ527" i="3"/>
  <c r="AZ571" i="3"/>
  <c r="AZ518" i="3"/>
  <c r="AZ538" i="3"/>
  <c r="AZ512" i="3"/>
  <c r="AA44" i="33"/>
  <c r="F26" i="33"/>
  <c r="AA26" i="33" s="1"/>
  <c r="AC31" i="35"/>
  <c r="AZ347" i="3"/>
  <c r="U14" i="40"/>
  <c r="AZ503" i="3"/>
  <c r="AZ539" i="3"/>
  <c r="AA14" i="34"/>
  <c r="AC31" i="34"/>
  <c r="J36" i="35"/>
  <c r="AC36" i="35" s="1"/>
  <c r="G570" i="3"/>
  <c r="G14" i="3"/>
  <c r="BL16" i="3"/>
  <c r="AZ16" i="3" s="1"/>
  <c r="A15" i="62"/>
  <c r="B61" i="72" s="1"/>
  <c r="G398" i="3"/>
  <c r="G404" i="3"/>
  <c r="BA404" i="3"/>
  <c r="BA405" i="3"/>
  <c r="BL409" i="3"/>
  <c r="BA420" i="3"/>
  <c r="BA422" i="3"/>
  <c r="G428" i="3"/>
  <c r="BL428" i="3"/>
  <c r="BL429" i="3"/>
  <c r="BA431" i="3"/>
  <c r="BL431" i="3"/>
  <c r="G433" i="3"/>
  <c r="G440" i="3"/>
  <c r="G445" i="3"/>
  <c r="BA451" i="3"/>
  <c r="BL455" i="3"/>
  <c r="G465" i="3"/>
  <c r="BA467" i="3"/>
  <c r="BA468" i="3"/>
  <c r="G470" i="3"/>
  <c r="G471" i="3"/>
  <c r="BL471" i="3"/>
  <c r="G477" i="3"/>
  <c r="BA477" i="3"/>
  <c r="G480" i="3"/>
  <c r="G481" i="3"/>
  <c r="BA481" i="3"/>
  <c r="G484" i="3"/>
  <c r="BA489" i="3"/>
  <c r="BL316" i="3"/>
  <c r="G358" i="3"/>
  <c r="G362" i="3"/>
  <c r="G366" i="3"/>
  <c r="G374" i="3"/>
  <c r="BL383" i="3"/>
  <c r="AZ383" i="3" s="1"/>
  <c r="BA209" i="3"/>
  <c r="G212" i="3"/>
  <c r="G213" i="3"/>
  <c r="BL222" i="3"/>
  <c r="G223" i="3"/>
  <c r="G227" i="3"/>
  <c r="G228" i="3"/>
  <c r="BA229" i="3"/>
  <c r="AZ229" i="3" s="1"/>
  <c r="BL229" i="3"/>
  <c r="BA231" i="3"/>
  <c r="BL231" i="3"/>
  <c r="G233" i="3"/>
  <c r="BA237" i="3"/>
  <c r="AZ237" i="3" s="1"/>
  <c r="BA240" i="3"/>
  <c r="G243" i="3"/>
  <c r="G249" i="3"/>
  <c r="BA250" i="3"/>
  <c r="BL252" i="3"/>
  <c r="G253" i="3"/>
  <c r="BL257" i="3"/>
  <c r="BL258" i="3"/>
  <c r="G259" i="3"/>
  <c r="BL269" i="3"/>
  <c r="G271" i="3"/>
  <c r="BA278" i="3"/>
  <c r="AZ278" i="3" s="1"/>
  <c r="BL283" i="3"/>
  <c r="BL284" i="3"/>
  <c r="G302" i="3"/>
  <c r="BA400" i="3"/>
  <c r="BL400" i="3"/>
  <c r="BA403" i="3"/>
  <c r="G408" i="3"/>
  <c r="BL412" i="3"/>
  <c r="BL413" i="3"/>
  <c r="G415" i="3"/>
  <c r="G422" i="3"/>
  <c r="G431" i="3"/>
  <c r="G438" i="3"/>
  <c r="BA442" i="3"/>
  <c r="G444" i="3"/>
  <c r="BA445" i="3"/>
  <c r="BA447" i="3"/>
  <c r="AZ447" i="3" s="1"/>
  <c r="G449" i="3"/>
  <c r="BL462" i="3"/>
  <c r="G464" i="3"/>
  <c r="BA466" i="3"/>
  <c r="BL469" i="3"/>
  <c r="BA476" i="3"/>
  <c r="G479" i="3"/>
  <c r="BA480" i="3"/>
  <c r="BA487" i="3"/>
  <c r="AZ487" i="3" s="1"/>
  <c r="BA488" i="3"/>
  <c r="AZ488" i="3" s="1"/>
  <c r="BL490" i="3"/>
  <c r="G318" i="3"/>
  <c r="BL340" i="3"/>
  <c r="AZ340" i="3" s="1"/>
  <c r="G343" i="3"/>
  <c r="G347" i="3"/>
  <c r="BA348" i="3"/>
  <c r="BA350" i="3"/>
  <c r="AZ350" i="3" s="1"/>
  <c r="BA354" i="3"/>
  <c r="BL381" i="3"/>
  <c r="BA392" i="3"/>
  <c r="AZ392" i="3" s="1"/>
  <c r="BL211" i="3"/>
  <c r="BL216" i="3"/>
  <c r="G217" i="3"/>
  <c r="G226" i="3"/>
  <c r="BA228" i="3"/>
  <c r="BL230" i="3"/>
  <c r="G231" i="3"/>
  <c r="G238" i="3"/>
  <c r="BL242" i="3"/>
  <c r="BL245" i="3"/>
  <c r="G247" i="3"/>
  <c r="BL255" i="3"/>
  <c r="BL267" i="3"/>
  <c r="G269" i="3"/>
  <c r="BA120" i="3"/>
  <c r="AZ120" i="3" s="1"/>
  <c r="BL122" i="3"/>
  <c r="G123" i="3"/>
  <c r="G127" i="3"/>
  <c r="BL135" i="3"/>
  <c r="AZ135" i="3" s="1"/>
  <c r="H5" i="3"/>
  <c r="F19" i="6"/>
  <c r="E19" i="6" s="1"/>
  <c r="BK5" i="3"/>
  <c r="BG5" i="3"/>
  <c r="BC5" i="3"/>
  <c r="BP5" i="3"/>
  <c r="G29" i="6" s="1"/>
  <c r="BS5" i="3"/>
  <c r="G400" i="3"/>
  <c r="BL402" i="3"/>
  <c r="G405" i="3"/>
  <c r="G420" i="3"/>
  <c r="G426" i="3"/>
  <c r="BA439" i="3"/>
  <c r="BA440" i="3"/>
  <c r="AZ440" i="3" s="1"/>
  <c r="BA443" i="3"/>
  <c r="AZ443" i="3" s="1"/>
  <c r="BA444" i="3"/>
  <c r="G448" i="3"/>
  <c r="BA449" i="3"/>
  <c r="G452" i="3"/>
  <c r="G453" i="3"/>
  <c r="BL453" i="3"/>
  <c r="BL454" i="3"/>
  <c r="BL458" i="3"/>
  <c r="BL459" i="3"/>
  <c r="BL375" i="3"/>
  <c r="AZ375" i="3" s="1"/>
  <c r="BL386" i="3"/>
  <c r="G392" i="3"/>
  <c r="BL395" i="3"/>
  <c r="G396" i="3"/>
  <c r="G216" i="3"/>
  <c r="BA217" i="3"/>
  <c r="G220" i="3"/>
  <c r="G221" i="3"/>
  <c r="BL224" i="3"/>
  <c r="BA233" i="3"/>
  <c r="G236" i="3"/>
  <c r="BL262" i="3"/>
  <c r="BL265" i="3"/>
  <c r="G267" i="3"/>
  <c r="G287" i="3"/>
  <c r="BL292" i="3"/>
  <c r="G295" i="3"/>
  <c r="BA298" i="3"/>
  <c r="AZ298" i="3" s="1"/>
  <c r="BA301" i="3"/>
  <c r="BA149" i="3"/>
  <c r="BA463" i="3"/>
  <c r="BA465" i="3"/>
  <c r="AZ465" i="3" s="1"/>
  <c r="G478" i="3"/>
  <c r="BA478" i="3"/>
  <c r="BL484" i="3"/>
  <c r="BA319" i="3"/>
  <c r="AZ319" i="3" s="1"/>
  <c r="BL324" i="3"/>
  <c r="AZ324" i="3" s="1"/>
  <c r="BL328" i="3"/>
  <c r="AZ328" i="3" s="1"/>
  <c r="BA366" i="3"/>
  <c r="AZ366" i="3" s="1"/>
  <c r="BA128" i="3"/>
  <c r="AZ128" i="3" s="1"/>
  <c r="BA134" i="3"/>
  <c r="BL143" i="3"/>
  <c r="AZ143" i="3" s="1"/>
  <c r="BL154" i="3"/>
  <c r="G156" i="3"/>
  <c r="BA157" i="3"/>
  <c r="BL161" i="3"/>
  <c r="G163" i="3"/>
  <c r="BL171" i="3"/>
  <c r="AZ171" i="3" s="1"/>
  <c r="BA178" i="3"/>
  <c r="G191" i="3"/>
  <c r="G195" i="3"/>
  <c r="BA196" i="3"/>
  <c r="AZ196" i="3" s="1"/>
  <c r="BL23" i="3"/>
  <c r="BA40" i="3"/>
  <c r="BL44" i="3"/>
  <c r="BL52" i="3"/>
  <c r="BL57" i="3"/>
  <c r="G62" i="3"/>
  <c r="BA70" i="3"/>
  <c r="G73" i="3"/>
  <c r="G78" i="3"/>
  <c r="BA95" i="3"/>
  <c r="G96" i="3"/>
  <c r="BL100" i="3"/>
  <c r="BA106" i="3"/>
  <c r="BL108" i="3"/>
  <c r="C58" i="82"/>
  <c r="D58" i="82" s="1"/>
  <c r="E58" i="82" s="1"/>
  <c r="F58" i="82" s="1"/>
  <c r="G58" i="82" s="1"/>
  <c r="H58" i="82" s="1"/>
  <c r="I58" i="82" s="1"/>
  <c r="J58" i="82" s="1"/>
  <c r="K58" i="82" s="1"/>
  <c r="L58" i="82" s="1"/>
  <c r="M58" i="82" s="1"/>
  <c r="N58" i="82" s="1"/>
  <c r="O58" i="82" s="1"/>
  <c r="G7" i="82"/>
  <c r="H7" i="82" s="1"/>
  <c r="E7" i="82"/>
  <c r="I7" i="82"/>
  <c r="AA18" i="35"/>
  <c r="C78" i="71"/>
  <c r="D78" i="71" s="1"/>
  <c r="AA28" i="71"/>
  <c r="Y29" i="71"/>
  <c r="Z29" i="71" s="1"/>
  <c r="X33" i="71"/>
  <c r="X36" i="71"/>
  <c r="C5" i="68"/>
  <c r="AA3" i="71"/>
  <c r="T60" i="71"/>
  <c r="N66" i="71"/>
  <c r="C39" i="71"/>
  <c r="C40" i="71" s="1"/>
  <c r="X38" i="71"/>
  <c r="Y30" i="71"/>
  <c r="Z30" i="71" s="1"/>
  <c r="Y35" i="71"/>
  <c r="Z35" i="71" s="1"/>
  <c r="B59" i="71"/>
  <c r="B60" i="71" s="1"/>
  <c r="S60" i="71" s="1"/>
  <c r="E59" i="71"/>
  <c r="E60" i="71" s="1"/>
  <c r="U60" i="71" s="1"/>
  <c r="Y27" i="71"/>
  <c r="Z27" i="71" s="1"/>
  <c r="Y26" i="71"/>
  <c r="Z26" i="71" s="1"/>
  <c r="C23" i="71"/>
  <c r="B22" i="71"/>
  <c r="B21" i="71" s="1"/>
  <c r="B20" i="71" s="1"/>
  <c r="BA257" i="3"/>
  <c r="AZ257" i="3" s="1"/>
  <c r="BA260" i="3"/>
  <c r="BA262" i="3"/>
  <c r="AZ262" i="3" s="1"/>
  <c r="BA265" i="3"/>
  <c r="AZ265" i="3" s="1"/>
  <c r="BA270" i="3"/>
  <c r="BL272" i="3"/>
  <c r="BA288" i="3"/>
  <c r="BA294" i="3"/>
  <c r="BL301" i="3"/>
  <c r="BL302" i="3"/>
  <c r="BL134" i="3"/>
  <c r="BA145" i="3"/>
  <c r="BL146" i="3"/>
  <c r="BL157" i="3"/>
  <c r="BL159" i="3"/>
  <c r="AZ159" i="3" s="1"/>
  <c r="BL166" i="3"/>
  <c r="BL167" i="3"/>
  <c r="AZ167" i="3" s="1"/>
  <c r="BA176" i="3"/>
  <c r="AZ176" i="3" s="1"/>
  <c r="BL187" i="3"/>
  <c r="AZ187" i="3" s="1"/>
  <c r="BL20" i="3"/>
  <c r="BA21" i="3"/>
  <c r="BA30" i="3"/>
  <c r="G34" i="3"/>
  <c r="BL34" i="3"/>
  <c r="G52" i="3"/>
  <c r="BA52" i="3"/>
  <c r="G67" i="3"/>
  <c r="G72" i="3"/>
  <c r="BA72" i="3"/>
  <c r="BL74" i="3"/>
  <c r="BL75" i="3"/>
  <c r="G81" i="3"/>
  <c r="G84" i="3"/>
  <c r="BL91" i="3"/>
  <c r="BA97" i="3"/>
  <c r="BL97" i="3"/>
  <c r="G99" i="3"/>
  <c r="BA104" i="3"/>
  <c r="BL110" i="3"/>
  <c r="G112" i="3"/>
  <c r="K13" i="1"/>
  <c r="M13" i="1" s="1"/>
  <c r="O13" i="1" s="1"/>
  <c r="P13" i="1" s="1"/>
  <c r="AC18" i="35"/>
  <c r="B57" i="43"/>
  <c r="E71" i="71"/>
  <c r="E70" i="71" s="1"/>
  <c r="AB25" i="71"/>
  <c r="X26" i="71"/>
  <c r="F79" i="71"/>
  <c r="F78" i="71" s="1"/>
  <c r="BA255" i="3"/>
  <c r="BA259" i="3"/>
  <c r="AZ259" i="3" s="1"/>
  <c r="G263" i="3"/>
  <c r="BA267" i="3"/>
  <c r="AZ267" i="3" s="1"/>
  <c r="BA269" i="3"/>
  <c r="AZ269" i="3" s="1"/>
  <c r="G276" i="3"/>
  <c r="BA280" i="3"/>
  <c r="AZ280" i="3" s="1"/>
  <c r="BA283" i="3"/>
  <c r="AZ283" i="3" s="1"/>
  <c r="BA286" i="3"/>
  <c r="BL286" i="3"/>
  <c r="G292" i="3"/>
  <c r="BA293" i="3"/>
  <c r="G116" i="3"/>
  <c r="BA125" i="3"/>
  <c r="BL127" i="3"/>
  <c r="AZ127" i="3" s="1"/>
  <c r="G128" i="3"/>
  <c r="G134" i="3"/>
  <c r="G136" i="3"/>
  <c r="G146" i="3"/>
  <c r="BL163" i="3"/>
  <c r="AZ163" i="3" s="1"/>
  <c r="BL169" i="3"/>
  <c r="BL173" i="3"/>
  <c r="G174" i="3"/>
  <c r="G178" i="3"/>
  <c r="BL181" i="3"/>
  <c r="G182" i="3"/>
  <c r="BA188" i="3"/>
  <c r="AZ188" i="3" s="1"/>
  <c r="BL191" i="3"/>
  <c r="AZ191" i="3" s="1"/>
  <c r="G192" i="3"/>
  <c r="BA193" i="3"/>
  <c r="BL195" i="3"/>
  <c r="AZ195" i="3" s="1"/>
  <c r="G202" i="3"/>
  <c r="G203" i="3"/>
  <c r="BA205" i="3"/>
  <c r="AZ205" i="3" s="1"/>
  <c r="G19" i="3"/>
  <c r="BL24" i="3"/>
  <c r="BA25" i="3"/>
  <c r="BA26" i="3"/>
  <c r="G28" i="3"/>
  <c r="BL28" i="3"/>
  <c r="BA29" i="3"/>
  <c r="G33" i="3"/>
  <c r="BA33" i="3"/>
  <c r="BA47" i="3"/>
  <c r="BL47" i="3"/>
  <c r="G49" i="3"/>
  <c r="G50" i="3"/>
  <c r="BA55" i="3"/>
  <c r="BA62" i="3"/>
  <c r="BL62" i="3"/>
  <c r="BL63" i="3"/>
  <c r="BA78" i="3"/>
  <c r="G79" i="3"/>
  <c r="BA88" i="3"/>
  <c r="G92" i="3"/>
  <c r="BL96" i="3"/>
  <c r="G102" i="3"/>
  <c r="BA103" i="3"/>
  <c r="G106" i="3"/>
  <c r="G110" i="3"/>
  <c r="BA111" i="3"/>
  <c r="F3" i="35"/>
  <c r="J51" i="67"/>
  <c r="N59" i="67" s="1"/>
  <c r="U21" i="34"/>
  <c r="U29" i="39"/>
  <c r="S18" i="36"/>
  <c r="B77" i="43"/>
  <c r="X25" i="71"/>
  <c r="H27" i="33"/>
  <c r="AB27" i="33" s="1"/>
  <c r="A2" i="9"/>
  <c r="A4" i="52"/>
  <c r="B41" i="72" s="1"/>
  <c r="E7" i="33"/>
  <c r="W8" i="33"/>
  <c r="H42" i="33"/>
  <c r="AB42" i="33" s="1"/>
  <c r="W43" i="33"/>
  <c r="S43" i="33"/>
  <c r="S42" i="33"/>
  <c r="W42" i="33"/>
  <c r="AA29" i="33"/>
  <c r="AB34" i="33"/>
  <c r="AB19" i="33"/>
  <c r="W19" i="33"/>
  <c r="U15" i="33"/>
  <c r="W15" i="33"/>
  <c r="W38" i="33"/>
  <c r="AC13" i="33"/>
  <c r="AB36" i="33"/>
  <c r="S36" i="33"/>
  <c r="S32" i="33"/>
  <c r="AB41" i="33"/>
  <c r="S38" i="33"/>
  <c r="AB38" i="33"/>
  <c r="AA17" i="33"/>
  <c r="AC17" i="33"/>
  <c r="U32" i="33"/>
  <c r="S21" i="33"/>
  <c r="AA19" i="33"/>
  <c r="AC21" i="33"/>
  <c r="S28" i="33"/>
  <c r="S39" i="33"/>
  <c r="U39" i="33"/>
  <c r="W39" i="33"/>
  <c r="W32" i="33"/>
  <c r="AC28" i="33"/>
  <c r="AB28" i="33"/>
  <c r="S27" i="33"/>
  <c r="S26" i="33"/>
  <c r="W25" i="33"/>
  <c r="S25" i="33"/>
  <c r="F6" i="1"/>
  <c r="G6" i="1" s="1"/>
  <c r="B41" i="1"/>
  <c r="F48" i="9" s="1"/>
  <c r="O52" i="9" s="1"/>
  <c r="D93" i="9"/>
  <c r="D68" i="9"/>
  <c r="BA13" i="3"/>
  <c r="H109" i="9"/>
  <c r="B16" i="53"/>
  <c r="B33" i="72" s="1"/>
  <c r="AZ499" i="3"/>
  <c r="AZ563" i="3"/>
  <c r="U12" i="35"/>
  <c r="AB12" i="35"/>
  <c r="AB34" i="35"/>
  <c r="U34" i="35"/>
  <c r="AA32" i="37"/>
  <c r="W37" i="33"/>
  <c r="AZ357" i="3"/>
  <c r="AB37" i="39"/>
  <c r="S14" i="40"/>
  <c r="AA25" i="21"/>
  <c r="AZ568" i="3"/>
  <c r="AC35" i="40"/>
  <c r="U26" i="33"/>
  <c r="BL587" i="3"/>
  <c r="AZ587" i="3" s="1"/>
  <c r="BL586" i="3"/>
  <c r="AZ586" i="3" s="1"/>
  <c r="AC8" i="34"/>
  <c r="W8" i="34"/>
  <c r="F9" i="34"/>
  <c r="AA9" i="34" s="1"/>
  <c r="H9" i="34"/>
  <c r="G556" i="3"/>
  <c r="AZ579" i="3"/>
  <c r="J9" i="33"/>
  <c r="F9" i="33"/>
  <c r="AA9" i="33" s="1"/>
  <c r="AC9" i="34"/>
  <c r="W9" i="34"/>
  <c r="J23" i="35"/>
  <c r="H23" i="35"/>
  <c r="AA34" i="39"/>
  <c r="S34" i="39"/>
  <c r="AC8" i="40"/>
  <c r="W8" i="40"/>
  <c r="AC27" i="33"/>
  <c r="AC23" i="37"/>
  <c r="U9" i="21"/>
  <c r="U23" i="33"/>
  <c r="AB25" i="33"/>
  <c r="AA19" i="37"/>
  <c r="W17" i="21"/>
  <c r="AC39" i="34"/>
  <c r="U12" i="39"/>
  <c r="AA27" i="40"/>
  <c r="AB27" i="40"/>
  <c r="AA34" i="33"/>
  <c r="AZ387" i="3"/>
  <c r="AZ362" i="3"/>
  <c r="AZ338" i="3"/>
  <c r="AZ390" i="3"/>
  <c r="AZ371" i="3"/>
  <c r="AZ351" i="3"/>
  <c r="AZ336" i="3"/>
  <c r="AZ30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0" i="68"/>
  <c r="F48" i="68" s="1"/>
  <c r="S20" i="36"/>
  <c r="AA39" i="39"/>
  <c r="S15" i="39"/>
  <c r="AC34" i="33"/>
  <c r="F29" i="6"/>
  <c r="AZ318" i="3"/>
  <c r="AZ304"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U31" i="36"/>
  <c r="G587" i="3"/>
  <c r="H33" i="36"/>
  <c r="F25" i="37"/>
  <c r="BA551" i="3"/>
  <c r="AZ551" i="3" s="1"/>
  <c r="BA550" i="3"/>
  <c r="BL548" i="3"/>
  <c r="AZ548" i="3" s="1"/>
  <c r="G399"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BA406" i="3"/>
  <c r="AZ406" i="3" s="1"/>
  <c r="G410" i="3"/>
  <c r="BL410" i="3"/>
  <c r="G412" i="3"/>
  <c r="BL419" i="3"/>
  <c r="AZ419" i="3" s="1"/>
  <c r="BL420" i="3"/>
  <c r="G423" i="3"/>
  <c r="BA424" i="3"/>
  <c r="BL427" i="3"/>
  <c r="G429" i="3"/>
  <c r="AZ469" i="3"/>
  <c r="G402" i="3"/>
  <c r="BL403" i="3"/>
  <c r="AZ403" i="3" s="1"/>
  <c r="G406" i="3"/>
  <c r="BA408" i="3"/>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AZ404" i="3" s="1"/>
  <c r="BL405" i="3"/>
  <c r="AZ405" i="3" s="1"/>
  <c r="BL407" i="3"/>
  <c r="AZ407" i="3" s="1"/>
  <c r="BA412" i="3"/>
  <c r="AZ412" i="3" s="1"/>
  <c r="BA414" i="3"/>
  <c r="BA415" i="3"/>
  <c r="AZ415" i="3" s="1"/>
  <c r="BA416" i="3"/>
  <c r="AZ416" i="3" s="1"/>
  <c r="BA418" i="3"/>
  <c r="BA421" i="3"/>
  <c r="BA423" i="3"/>
  <c r="BA425" i="3"/>
  <c r="AZ425" i="3" s="1"/>
  <c r="BA426" i="3"/>
  <c r="BA427" i="3"/>
  <c r="BA433" i="3"/>
  <c r="AZ433" i="3" s="1"/>
  <c r="BA435" i="3"/>
  <c r="AZ435" i="3" s="1"/>
  <c r="BL437" i="3"/>
  <c r="AZ437" i="3" s="1"/>
  <c r="G439" i="3"/>
  <c r="BL441" i="3"/>
  <c r="BL442" i="3"/>
  <c r="AZ442" i="3" s="1"/>
  <c r="BL444" i="3"/>
  <c r="AZ444" i="3" s="1"/>
  <c r="G446" i="3"/>
  <c r="BL448" i="3"/>
  <c r="AZ448" i="3" s="1"/>
  <c r="G450" i="3"/>
  <c r="G451" i="3"/>
  <c r="BA454" i="3"/>
  <c r="AZ454" i="3" s="1"/>
  <c r="BA457" i="3"/>
  <c r="BA459" i="3"/>
  <c r="AZ459" i="3" s="1"/>
  <c r="BA460" i="3"/>
  <c r="AZ460" i="3" s="1"/>
  <c r="BA461" i="3"/>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BL445" i="3"/>
  <c r="BL446"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BL234" i="3"/>
  <c r="BA236" i="3"/>
  <c r="BA238" i="3"/>
  <c r="BA243" i="3"/>
  <c r="BL248" i="3"/>
  <c r="AZ248" i="3" s="1"/>
  <c r="G250" i="3"/>
  <c r="BL250" i="3"/>
  <c r="AZ250" i="3" s="1"/>
  <c r="G252" i="3"/>
  <c r="G254" i="3"/>
  <c r="BL261" i="3"/>
  <c r="BA263" i="3"/>
  <c r="BA274" i="3"/>
  <c r="BL274" i="3"/>
  <c r="BA276" i="3"/>
  <c r="BA279" i="3"/>
  <c r="BA281" i="3"/>
  <c r="BA296" i="3"/>
  <c r="BA116" i="3"/>
  <c r="AZ116" i="3" s="1"/>
  <c r="BA121" i="3"/>
  <c r="BL121" i="3"/>
  <c r="BA124" i="3"/>
  <c r="AZ124" i="3" s="1"/>
  <c r="BA126" i="3"/>
  <c r="BA129" i="3"/>
  <c r="BL133" i="3"/>
  <c r="AZ133" i="3" s="1"/>
  <c r="BL139" i="3"/>
  <c r="AZ139" i="3" s="1"/>
  <c r="G140" i="3"/>
  <c r="BL141" i="3"/>
  <c r="G32" i="3"/>
  <c r="BA273" i="3"/>
  <c r="G288"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G54"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G76" i="3"/>
  <c r="BL77" i="3"/>
  <c r="AZ77" i="3" s="1"/>
  <c r="BA79" i="3"/>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BA206" i="3"/>
  <c r="AZ206" i="3" s="1"/>
  <c r="BL22" i="3"/>
  <c r="AZ22" i="3" s="1"/>
  <c r="BL33" i="3"/>
  <c r="AZ33" i="3" s="1"/>
  <c r="BL43" i="3"/>
  <c r="AZ43" i="3" s="1"/>
  <c r="BL46" i="3"/>
  <c r="AZ46" i="3" s="1"/>
  <c r="AZ54" i="3"/>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J26" i="43" s="1"/>
  <c r="E29" i="6"/>
  <c r="K15" i="1" s="1"/>
  <c r="E28" i="6"/>
  <c r="L19" i="6"/>
  <c r="L27" i="6"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F51" i="15"/>
  <c r="F66" i="67"/>
  <c r="L59" i="15"/>
  <c r="N59" i="15"/>
  <c r="M59" i="15"/>
  <c r="F66" i="15"/>
  <c r="Q71" i="67"/>
  <c r="C27" i="67"/>
  <c r="M59" i="67"/>
  <c r="B13" i="70"/>
  <c r="F68" i="67"/>
  <c r="F64" i="67"/>
  <c r="C36" i="68"/>
  <c r="D9" i="69"/>
  <c r="D9" i="68"/>
  <c r="M6" i="15"/>
  <c r="J15" i="15"/>
  <c r="F43" i="15"/>
  <c r="F26" i="15"/>
  <c r="M26" i="15"/>
  <c r="M22" i="15"/>
  <c r="F36" i="15"/>
  <c r="D3" i="73"/>
  <c r="D7" i="73"/>
  <c r="F7" i="15"/>
  <c r="F40" i="15"/>
  <c r="L48" i="15"/>
  <c r="F37" i="15"/>
  <c r="M9" i="15"/>
  <c r="M29" i="15"/>
  <c r="D4" i="73"/>
  <c r="F6" i="15"/>
  <c r="F13" i="15"/>
  <c r="D5" i="73"/>
  <c r="F16" i="15"/>
  <c r="M23" i="15"/>
  <c r="F9" i="15"/>
  <c r="L48" i="67"/>
  <c r="L59" i="67" l="1"/>
  <c r="G7" i="33"/>
  <c r="J57" i="15"/>
  <c r="J55" i="15" s="1"/>
  <c r="J58" i="15" s="1"/>
  <c r="Q50" i="15" s="1"/>
  <c r="L58" i="15"/>
  <c r="Q73" i="15" s="1"/>
  <c r="I54" i="15"/>
  <c r="J53" i="15"/>
  <c r="L56" i="15" s="1"/>
  <c r="M7" i="15"/>
  <c r="J6" i="15" s="1"/>
  <c r="J18" i="15" s="1"/>
  <c r="F50" i="15"/>
  <c r="C49" i="15" s="1"/>
  <c r="F71" i="15"/>
  <c r="F64" i="15"/>
  <c r="F65" i="15"/>
  <c r="AZ51" i="3"/>
  <c r="AZ126" i="3"/>
  <c r="AZ446" i="3"/>
  <c r="F32" i="15"/>
  <c r="F60" i="15" s="1"/>
  <c r="M18" i="67"/>
  <c r="F28" i="67"/>
  <c r="C28" i="67" s="1"/>
  <c r="F32" i="67"/>
  <c r="F60" i="67" s="1"/>
  <c r="U27" i="33"/>
  <c r="AZ47" i="3"/>
  <c r="AZ97" i="3"/>
  <c r="C22" i="71"/>
  <c r="D23" i="71"/>
  <c r="F7" i="82"/>
  <c r="AZ157" i="3"/>
  <c r="AZ301" i="3"/>
  <c r="AZ400" i="3"/>
  <c r="W12" i="36"/>
  <c r="AC12" i="36"/>
  <c r="U44" i="39"/>
  <c r="AB44" i="39"/>
  <c r="M18" i="15"/>
  <c r="F28" i="15"/>
  <c r="C28" i="15" s="1"/>
  <c r="U7" i="82"/>
  <c r="AB7" i="82"/>
  <c r="J7" i="36"/>
  <c r="AC7" i="36" s="1"/>
  <c r="V36" i="36" s="1"/>
  <c r="I36" i="36" s="1"/>
  <c r="AZ71" i="3"/>
  <c r="AZ56" i="3"/>
  <c r="AZ60" i="3"/>
  <c r="AZ274" i="3"/>
  <c r="AZ243" i="3"/>
  <c r="AZ194" i="3"/>
  <c r="AZ282" i="3"/>
  <c r="AZ210" i="3"/>
  <c r="AZ332" i="3"/>
  <c r="C33" i="82"/>
  <c r="D3" i="82"/>
  <c r="C33" i="33"/>
  <c r="B14" i="74"/>
  <c r="K6" i="1"/>
  <c r="AA15" i="33"/>
  <c r="S15" i="33"/>
  <c r="AZ79" i="3"/>
  <c r="AZ190" i="3"/>
  <c r="AZ41" i="3"/>
  <c r="AZ249" i="3"/>
  <c r="AZ263" i="3"/>
  <c r="AZ238" i="3"/>
  <c r="AZ464" i="3"/>
  <c r="AZ441" i="3"/>
  <c r="AZ461" i="3"/>
  <c r="AZ427" i="3"/>
  <c r="AZ421" i="3"/>
  <c r="AZ408" i="3"/>
  <c r="AZ424" i="3"/>
  <c r="AZ401" i="3"/>
  <c r="F52" i="9"/>
  <c r="F30" i="11"/>
  <c r="C48" i="11" s="1"/>
  <c r="F30" i="69"/>
  <c r="F31" i="12"/>
  <c r="C31" i="12" s="1"/>
  <c r="AZ62" i="3"/>
  <c r="AZ286" i="3"/>
  <c r="B19" i="71"/>
  <c r="B18" i="71" s="1"/>
  <c r="B17" i="71" s="1"/>
  <c r="B16" i="71" s="1"/>
  <c r="S20" i="71"/>
  <c r="J7" i="82"/>
  <c r="AA44" i="39"/>
  <c r="S44" i="39"/>
  <c r="U42" i="33"/>
  <c r="L56" i="67"/>
  <c r="J57" i="67"/>
  <c r="J55" i="67" s="1"/>
  <c r="J58" i="67" s="1"/>
  <c r="Q50" i="67" s="1"/>
  <c r="I54" i="67"/>
  <c r="J53" i="67"/>
  <c r="F1" i="67" s="1"/>
  <c r="L58" i="67"/>
  <c r="Q60" i="67" s="1"/>
  <c r="F26" i="43"/>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118" i="3"/>
  <c r="AZ130" i="3"/>
  <c r="AZ244" i="3"/>
  <c r="AZ418" i="3"/>
  <c r="AZ430" i="3"/>
  <c r="AC23" i="36"/>
  <c r="W23" i="36"/>
  <c r="AA37" i="39"/>
  <c r="S37" i="39"/>
  <c r="AZ550" i="3"/>
  <c r="AA45" i="21"/>
  <c r="S45" i="21"/>
  <c r="G16" i="1"/>
  <c r="F10" i="39" s="1"/>
  <c r="AA10" i="39" s="1"/>
  <c r="J7" i="37"/>
  <c r="K1" i="73"/>
  <c r="E510" i="3"/>
  <c r="E494" i="3"/>
  <c r="E13" i="3"/>
  <c r="E80" i="3"/>
  <c r="AH6" i="3"/>
  <c r="E15" i="3"/>
  <c r="E20" i="3"/>
  <c r="E24" i="3"/>
  <c r="E464" i="3"/>
  <c r="E195" i="3"/>
  <c r="E474" i="3"/>
  <c r="E548" i="3"/>
  <c r="E359" i="3"/>
  <c r="E303" i="3"/>
  <c r="E496" i="3"/>
  <c r="P6" i="3"/>
  <c r="E553" i="3"/>
  <c r="E230" i="3"/>
  <c r="E583" i="3"/>
  <c r="E450" i="3"/>
  <c r="E31" i="3"/>
  <c r="E478"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F7" i="37"/>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G1" i="73"/>
  <c r="AE6" i="1"/>
  <c r="F43" i="67"/>
  <c r="F7" i="67"/>
  <c r="C16" i="15"/>
  <c r="M29" i="67"/>
  <c r="Q60" i="15" l="1"/>
  <c r="J5" i="15"/>
  <c r="J24" i="15" s="1"/>
  <c r="Q52" i="15"/>
  <c r="F1" i="15"/>
  <c r="W7" i="36"/>
  <c r="F67" i="39"/>
  <c r="C6" i="67"/>
  <c r="C32" i="67" s="1"/>
  <c r="M7" i="67"/>
  <c r="J6" i="67" s="1"/>
  <c r="J18" i="67" s="1"/>
  <c r="F50" i="67"/>
  <c r="C49" i="67" s="1"/>
  <c r="F71" i="67"/>
  <c r="E102" i="3"/>
  <c r="F48" i="69"/>
  <c r="C30" i="69"/>
  <c r="C48" i="69"/>
  <c r="AP6" i="1"/>
  <c r="C36" i="69" s="1"/>
  <c r="H16" i="1"/>
  <c r="M6" i="1"/>
  <c r="O6" i="1" s="1"/>
  <c r="Q16" i="1"/>
  <c r="J33" i="82"/>
  <c r="H33" i="82"/>
  <c r="F33" i="82"/>
  <c r="C21" i="71"/>
  <c r="D22" i="71"/>
  <c r="D26" i="43"/>
  <c r="C25" i="43" s="1"/>
  <c r="K16" i="1"/>
  <c r="AZ5" i="3"/>
  <c r="W7" i="82"/>
  <c r="AC7" i="82"/>
  <c r="J33" i="33"/>
  <c r="H33" i="33"/>
  <c r="F33" i="33"/>
  <c r="S7" i="82"/>
  <c r="AA7" i="82"/>
  <c r="Q73" i="67"/>
  <c r="Q52" i="67"/>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56" i="71"/>
  <c r="T56" i="71"/>
  <c r="J10" i="39"/>
  <c r="W10" i="39" s="1"/>
  <c r="T52" i="71"/>
  <c r="D52" i="71"/>
  <c r="C36" i="71"/>
  <c r="D35" i="71"/>
  <c r="U7" i="36"/>
  <c r="H10" i="40"/>
  <c r="AB10" i="40" s="1"/>
  <c r="J10" i="40"/>
  <c r="AC10" i="40" s="1"/>
  <c r="F10" i="40"/>
  <c r="S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C48" i="15" s="1"/>
  <c r="C66" i="15" s="1"/>
  <c r="C10" i="15"/>
  <c r="C5" i="15" s="1"/>
  <c r="C38" i="15" s="1"/>
  <c r="F41" i="67"/>
  <c r="M27" i="67"/>
  <c r="M27" i="15"/>
  <c r="F41" i="15"/>
  <c r="C16" i="67"/>
  <c r="C10" i="67" l="1"/>
  <c r="C5" i="67" s="1"/>
  <c r="C38" i="67" s="1"/>
  <c r="J5" i="67"/>
  <c r="J24" i="67" s="1"/>
  <c r="AB33" i="82"/>
  <c r="T48" i="82" s="1"/>
  <c r="G48" i="82" s="1"/>
  <c r="U33" i="82"/>
  <c r="AA33" i="33"/>
  <c r="S33" i="33"/>
  <c r="W33" i="82"/>
  <c r="AC33" i="82"/>
  <c r="V48" i="82" s="1"/>
  <c r="I48" i="82" s="1"/>
  <c r="I52" i="82" s="1"/>
  <c r="J52" i="82" s="1"/>
  <c r="AB33" i="33"/>
  <c r="T48" i="33" s="1"/>
  <c r="U33" i="33"/>
  <c r="D21" i="71"/>
  <c r="C20" i="71"/>
  <c r="F27" i="69"/>
  <c r="F27" i="68"/>
  <c r="F27" i="11"/>
  <c r="F28" i="12"/>
  <c r="C29" i="12" s="1"/>
  <c r="D28" i="12" s="1"/>
  <c r="R48" i="33"/>
  <c r="E48" i="33" s="1"/>
  <c r="R48" i="82"/>
  <c r="AC33" i="33"/>
  <c r="V48" i="33" s="1"/>
  <c r="I48" i="33" s="1"/>
  <c r="I52" i="33" s="1"/>
  <c r="J52" i="33" s="1"/>
  <c r="W33" i="33"/>
  <c r="AA33" i="82"/>
  <c r="S33" i="82"/>
  <c r="F69" i="67"/>
  <c r="AC10" i="39"/>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7" i="67"/>
  <c r="C14" i="67"/>
  <c r="G48" i="33" l="1"/>
  <c r="R49" i="33"/>
  <c r="C48" i="33" s="1"/>
  <c r="C29" i="11"/>
  <c r="D27" i="11" s="1"/>
  <c r="C47" i="11"/>
  <c r="D45" i="11" s="1"/>
  <c r="I53" i="33"/>
  <c r="J53" i="33" s="1"/>
  <c r="R49" i="82"/>
  <c r="E48" i="82"/>
  <c r="C47" i="68"/>
  <c r="D45" i="68" s="1"/>
  <c r="C29" i="68"/>
  <c r="D27" i="68" s="1"/>
  <c r="F45" i="68"/>
  <c r="G52" i="82"/>
  <c r="H52" i="82" s="1"/>
  <c r="G53" i="82"/>
  <c r="H53" i="82" s="1"/>
  <c r="D30" i="6"/>
  <c r="C47" i="69"/>
  <c r="D45" i="69" s="1"/>
  <c r="C29" i="69"/>
  <c r="D27" i="69" s="1"/>
  <c r="F45" i="69"/>
  <c r="C19" i="71"/>
  <c r="T20" i="71"/>
  <c r="D20" i="71"/>
  <c r="U20" i="71" s="1"/>
  <c r="H22" i="6"/>
  <c r="C23" i="68"/>
  <c r="E6" i="3"/>
  <c r="H25" i="6"/>
  <c r="R25" i="6" s="1"/>
  <c r="R12" i="1" s="1"/>
  <c r="C44" i="68"/>
  <c r="D41" i="68" s="1"/>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E6" i="76"/>
  <c r="B6" i="76"/>
  <c r="C14" i="15"/>
  <c r="C49" i="33" l="1"/>
  <c r="I53" i="82"/>
  <c r="J53" i="82" s="1"/>
  <c r="E53" i="82"/>
  <c r="F53" i="82" s="1"/>
  <c r="E52" i="82"/>
  <c r="F52" i="82" s="1"/>
  <c r="C49" i="82"/>
  <c r="C48" i="82"/>
  <c r="C18" i="71"/>
  <c r="D19" i="71"/>
  <c r="G53" i="33"/>
  <c r="H53" i="33" s="1"/>
  <c r="G52" i="33"/>
  <c r="H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B2" i="82" l="1"/>
  <c r="B3" i="82"/>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D16" i="71" l="1"/>
  <c r="U16" i="71" s="1"/>
  <c r="C15" i="71"/>
  <c r="T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E52" i="21" l="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L51" i="15"/>
  <c r="C19" i="9"/>
  <c r="D2" i="36"/>
  <c r="D2" i="35"/>
  <c r="D19" i="9"/>
  <c r="D2" i="34"/>
  <c r="D12" i="71" l="1"/>
  <c r="U12" i="71" s="1"/>
  <c r="C11" i="71"/>
  <c r="T12" i="71"/>
  <c r="C102" i="9"/>
  <c r="C21" i="9"/>
  <c r="B3" i="33"/>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6" i="1"/>
  <c r="AO9" i="1"/>
  <c r="AO10" i="1"/>
  <c r="D20" i="9"/>
  <c r="AO11" i="1"/>
  <c r="C20" i="9"/>
  <c r="C10" i="71" l="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8" i="71" l="1"/>
  <c r="D9" i="71"/>
  <c r="C34" i="9"/>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18" i="9"/>
  <c r="G4" i="52" s="1"/>
  <c r="B52" i="72" s="1"/>
  <c r="F118" i="9"/>
  <c r="F119" i="9" s="1"/>
  <c r="F5" i="52" s="1"/>
  <c r="B53" i="72" s="1"/>
  <c r="I118" i="9"/>
  <c r="C105" i="9" s="1"/>
  <c r="C5" i="71" l="1"/>
  <c r="D5" i="71" s="1"/>
  <c r="M24" i="43" s="1"/>
  <c r="D6" i="71"/>
  <c r="H118" i="9"/>
  <c r="E118" i="9"/>
  <c r="H102" i="9"/>
  <c r="F4" i="52"/>
  <c r="B51" i="72" s="1"/>
  <c r="I4" i="52"/>
  <c r="D7" i="53" l="1"/>
  <c r="B21" i="72" s="1"/>
  <c r="E14" i="74"/>
  <c r="D118" i="9"/>
  <c r="E4" i="52"/>
  <c r="B48" i="72" s="1"/>
  <c r="H4" i="52"/>
  <c r="H101" i="9"/>
  <c r="C104" i="9"/>
  <c r="H119" i="9"/>
  <c r="H5" i="52" s="1"/>
  <c r="D4" i="52" l="1"/>
  <c r="B47" i="72" s="1"/>
  <c r="D119" i="9"/>
  <c r="D5" i="52" s="1"/>
  <c r="B49" i="72" s="1"/>
  <c r="D45" i="9"/>
  <c r="D5" i="53"/>
  <c r="M48" i="9"/>
  <c r="H107" i="9"/>
  <c r="D14" i="74"/>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C96" i="9" s="1"/>
  <c r="E96" i="9" s="1"/>
  <c r="E97" i="9" s="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7" i="9" l="1"/>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100-000009000000}">
      <text>
        <r>
          <rPr>
            <sz val="9"/>
            <color indexed="81"/>
            <rFont val="宋体"/>
            <family val="3"/>
            <charset val="134"/>
          </rPr>
          <t xml:space="preserve">需在此处填写剩余土地年限
</t>
        </r>
      </text>
    </comment>
    <comment ref="C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<sst xmlns="http://schemas.openxmlformats.org/spreadsheetml/2006/main" count="8367" uniqueCount="3514">
  <si>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</si>
  <si>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</si>
  <si>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</si>
  <si>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</si>
  <si>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</si>
  <si>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</si>
  <si>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</si>
  <si>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</si>
  <si>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</si>
  <si>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</si>
  <si>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</si>
  <si>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</si>
  <si>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</si>
  <si>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</si>
  <si>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</si>
  <si>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</si>
  <si>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</si>
  <si>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</si>
  <si>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</si>
  <si>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</si>
  <si>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</si>
  <si>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</si>
  <si>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</si>
  <si>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</si>
  <si>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</si>
  <si>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</si>
  <si>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</si>
  <si>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</si>
  <si>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</si>
  <si>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</si>
  <si>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</si>
  <si>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</si>
  <si>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</si>
  <si>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</si>
  <si>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</si>
  <si>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</si>
  <si>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</si>
  <si>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</si>
  <si>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</si>
  <si>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</si>
  <si>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</si>
  <si>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</si>
  <si>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</si>
  <si>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</si>
  <si>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</si>
  <si>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</si>
  <si>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</si>
  <si>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</si>
  <si>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</si>
  <si>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</si>
  <si>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</si>
  <si>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</si>
  <si>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</si>
  <si>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</si>
  <si>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</si>
  <si>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</si>
  <si>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</si>
  <si>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</si>
  <si>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</si>
  <si>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</si>
  <si>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</si>
  <si>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</si>
  <si>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</si>
  <si>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</si>
  <si>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</si>
  <si>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</si>
  <si>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</si>
  <si>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</si>
  <si>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</si>
  <si>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</si>
  <si>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</si>
  <si>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</si>
  <si>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</si>
  <si>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</si>
  <si>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</si>
  <si>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</si>
  <si>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</si>
  <si>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</si>
  <si>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</si>
  <si>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</si>
  <si>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</si>
  <si>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</si>
  <si>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</si>
  <si>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</si>
  <si>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</si>
  <si>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</si>
  <si>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</si>
  <si>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</si>
  <si>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</si>
  <si>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</si>
  <si>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</si>
  <si>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</si>
  <si>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</si>
  <si>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</si>
  <si>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</si>
  <si>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</si>
  <si>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</si>
  <si>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</si>
  <si>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</si>
  <si>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</si>
  <si>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</si>
  <si>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</si>
  <si>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</si>
  <si>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</si>
  <si>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</si>
  <si>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</si>
  <si>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</si>
  <si>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</si>
  <si>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</si>
  <si>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</si>
  <si>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</si>
  <si>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</si>
  <si>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</si>
  <si>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</si>
  <si>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</si>
  <si>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</si>
  <si>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</si>
  <si>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</si>
  <si>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</si>
  <si>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</si>
  <si>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</si>
  <si>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</si>
  <si>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</si>
  <si>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</si>
  <si>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</si>
  <si>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</si>
  <si>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</si>
  <si>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</si>
  <si>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</si>
  <si>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</si>
  <si>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</si>
  <si>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</si>
  <si>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</si>
  <si>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</si>
  <si>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</si>
  <si>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</si>
  <si>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</si>
  <si>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</si>
  <si>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</si>
  <si>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</si>
  <si>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</si>
  <si>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</si>
  <si>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</si>
  <si>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</si>
  <si>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</si>
  <si>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</si>
  <si>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</si>
  <si>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</si>
  <si>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</si>
  <si>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</si>
  <si>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</si>
  <si>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</si>
  <si>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</si>
  <si>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</si>
  <si>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</si>
  <si>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</si>
  <si>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</si>
  <si>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</si>
  <si>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</si>
  <si>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</si>
  <si>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</si>
  <si>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</si>
  <si>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</si>
  <si>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</si>
  <si>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</si>
  <si>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</si>
  <si>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</si>
  <si>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</si>
  <si>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</si>
  <si>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</si>
  <si>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</si>
  <si>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</si>
  <si>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</si>
  <si>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</si>
  <si>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</si>
  <si>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</si>
  <si>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</si>
  <si>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</si>
  <si>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</si>
  <si>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</si>
  <si>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</si>
  <si>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</si>
  <si>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</si>
  <si>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</si>
  <si>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</si>
  <si>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</si>
  <si>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</si>
  <si>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</si>
  <si>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</si>
  <si>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</si>
  <si>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</si>
  <si>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</si>
  <si>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</si>
  <si>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</si>
  <si>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</si>
  <si>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</si>
  <si>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</si>
  <si>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</si>
  <si>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</si>
  <si>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</si>
  <si>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</si>
  <si>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</si>
  <si>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</si>
  <si>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</si>
  <si>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</si>
  <si>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</si>
  <si>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</si>
  <si>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</si>
  <si>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</si>
  <si>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</si>
  <si>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</si>
  <si>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</si>
  <si>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</si>
  <si>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</si>
  <si>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</si>
  <si>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</si>
  <si>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</si>
  <si>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</si>
  <si>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</si>
  <si>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</si>
  <si>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</si>
  <si>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</si>
  <si>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</si>
  <si>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</si>
  <si>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</si>
  <si>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</si>
  <si>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</si>
  <si>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</si>
  <si>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</si>
  <si>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</si>
  <si>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</si>
  <si>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</si>
  <si>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</si>
  <si>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</si>
  <si>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</si>
  <si>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</si>
  <si>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</si>
  <si>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</si>
  <si>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</si>
  <si>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</si>
  <si>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</si>
  <si>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</si>
  <si>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</si>
  <si>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</si>
  <si>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</si>
  <si>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</si>
  <si>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</si>
  <si>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</si>
  <si>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</si>
  <si>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</si>
  <si>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</si>
  <si>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</si>
  <si>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</si>
  <si>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</si>
  <si>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</si>
  <si>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</si>
  <si>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</si>
  <si>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</si>
  <si>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</si>
  <si>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</si>
  <si>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</si>
  <si>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</si>
  <si>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</si>
  <si>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</si>
  <si>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</si>
  <si>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</si>
  <si>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</si>
  <si>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</si>
  <si>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</si>
  <si>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</si>
  <si>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</si>
  <si>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</si>
  <si>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</si>
  <si>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</si>
  <si>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</si>
  <si>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</si>
  <si>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</si>
  <si>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</si>
  <si>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</si>
  <si>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</si>
  <si>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</si>
  <si>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</si>
  <si>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</si>
  <si>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</si>
  <si>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</si>
  <si>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</si>
  <si>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</si>
  <si>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</si>
  <si>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</si>
  <si>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</si>
  <si>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</si>
  <si>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</si>
  <si>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</si>
  <si>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</si>
  <si>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</si>
  <si>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</si>
  <si>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</si>
  <si>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</si>
  <si>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</si>
  <si>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</si>
  <si>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</si>
  <si>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</si>
  <si>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</si>
  <si>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</si>
  <si>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</si>
  <si>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</si>
  <si>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</si>
  <si>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</si>
  <si>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</si>
  <si>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</si>
  <si>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</si>
  <si>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</si>
  <si>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</si>
  <si>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</si>
  <si>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</si>
  <si>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</si>
  <si>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</si>
  <si>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</si>
  <si>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</si>
  <si>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</si>
  <si>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</si>
  <si>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</si>
  <si>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</si>
  <si>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</si>
  <si>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</si>
  <si>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</si>
  <si>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</si>
  <si>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</si>
  <si>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</si>
  <si>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</si>
  <si>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</si>
  <si>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</si>
  <si>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</si>
  <si>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</si>
  <si>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</si>
  <si>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</si>
  <si>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</si>
  <si>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</si>
  <si>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</si>
  <si>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</si>
  <si>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</si>
  <si>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</si>
  <si>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</si>
  <si>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</si>
  <si>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</si>
  <si>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</si>
  <si>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</si>
  <si>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</si>
  <si>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</si>
  <si>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</si>
  <si>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</si>
  <si>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</si>
  <si>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</si>
  <si>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</si>
  <si>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</si>
  <si>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</si>
  <si>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</si>
  <si>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</si>
  <si>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</si>
  <si>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</si>
  <si>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</si>
  <si>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</si>
  <si>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</si>
  <si>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</si>
  <si>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</si>
  <si>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</si>
  <si>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</si>
  <si>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</si>
  <si>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</si>
  <si>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</si>
  <si>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</si>
  <si>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</si>
  <si>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</si>
  <si>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</si>
  <si>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</si>
  <si>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</si>
  <si>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</si>
  <si>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</si>
  <si>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</si>
  <si>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</si>
  <si>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</si>
  <si>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</si>
  <si>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</si>
  <si>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</si>
  <si>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</si>
  <si>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</si>
  <si>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</si>
  <si>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</si>
  <si>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</si>
  <si>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</si>
  <si>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</si>
  <si>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</si>
  <si>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</si>
  <si>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</si>
  <si>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</si>
  <si>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</si>
  <si>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</si>
  <si>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</si>
  <si>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</si>
  <si>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</si>
  <si>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</si>
  <si>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</si>
  <si>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</si>
  <si>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</si>
  <si>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</si>
  <si>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</si>
  <si>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</si>
  <si>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</si>
  <si>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</si>
  <si>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</si>
  <si>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</si>
  <si>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</si>
  <si>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</si>
  <si>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</si>
  <si>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</si>
  <si>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</si>
  <si>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</si>
  <si>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</si>
  <si>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</si>
  <si>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</si>
  <si>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</si>
  <si>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</si>
  <si>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</si>
  <si>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</si>
  <si>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</si>
  <si>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</si>
  <si>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</si>
  <si>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</si>
  <si>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</si>
  <si>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</si>
  <si>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</si>
  <si>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</si>
  <si>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</si>
  <si>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</si>
  <si>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</si>
  <si>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</si>
  <si>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</si>
  <si>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</si>
  <si>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</si>
  <si>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</si>
  <si>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</si>
  <si>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</si>
  <si>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</si>
  <si>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</si>
  <si>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</si>
  <si>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</si>
  <si>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</si>
  <si>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</si>
  <si>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</si>
  <si>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</si>
  <si>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</si>
  <si>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</si>
  <si>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</si>
  <si>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</si>
  <si>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</si>
  <si>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</si>
  <si>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</si>
  <si>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</si>
  <si>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</si>
  <si>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</si>
  <si>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</si>
  <si>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</si>
  <si>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</si>
  <si>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</si>
  <si>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</si>
  <si>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</si>
  <si>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</si>
  <si>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</si>
  <si>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</si>
  <si>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</si>
  <si>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</si>
  <si>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</si>
  <si>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</si>
  <si>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</si>
  <si>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</si>
  <si>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</si>
  <si>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</si>
  <si>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</si>
  <si>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</si>
  <si>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</si>
  <si>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</si>
  <si>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</si>
  <si>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</si>
  <si>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</si>
  <si>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</si>
  <si>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</si>
  <si>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</si>
  <si>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</si>
  <si>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</si>
  <si>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</si>
  <si>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</si>
  <si>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</si>
  <si>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</si>
  <si>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</si>
  <si>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</si>
  <si>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</si>
  <si>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</si>
  <si>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</si>
  <si>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</si>
  <si>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</si>
  <si>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</si>
  <si>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</si>
  <si>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</si>
  <si>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</si>
  <si>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</si>
  <si>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</si>
  <si>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</si>
  <si>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</si>
  <si>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</si>
  <si>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</si>
  <si>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</si>
  <si>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</si>
  <si>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</si>
  <si>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</si>
  <si>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</si>
  <si>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</si>
  <si>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</si>
  <si>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</si>
  <si>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</si>
  <si>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</si>
  <si>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</si>
  <si>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</si>
  <si>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</si>
  <si>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</si>
  <si>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</si>
  <si>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</si>
  <si>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</si>
  <si>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</si>
  <si>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</si>
  <si>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</si>
  <si>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</si>
  <si>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</si>
  <si>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</si>
  <si>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</si>
  <si>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</si>
  <si>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</si>
  <si>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</si>
  <si>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</si>
  <si>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</si>
  <si>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</si>
  <si>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</si>
  <si>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</si>
  <si>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</si>
  <si>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</si>
  <si>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</si>
  <si>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</si>
  <si>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</si>
  <si>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</si>
  <si>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</si>
  <si>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</si>
  <si>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</si>
  <si>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</si>
  <si>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</si>
  <si>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</si>
  <si>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</si>
  <si>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</si>
  <si>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</si>
  <si>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</si>
  <si>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</si>
  <si>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</si>
  <si>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</si>
  <si>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</si>
  <si>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</si>
  <si>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</si>
  <si>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</si>
  <si>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</si>
  <si>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</si>
  <si>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</si>
  <si>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</si>
  <si>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</si>
  <si>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</si>
  <si>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</si>
  <si>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</si>
  <si>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</si>
  <si>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</si>
  <si>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</si>
  <si>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</si>
  <si>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</si>
  <si>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</si>
  <si>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</si>
  <si>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</si>
  <si>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</si>
  <si>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</si>
  <si>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</si>
  <si>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</si>
  <si>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</si>
  <si>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</si>
  <si>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</si>
  <si>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</si>
  <si>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</si>
  <si>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</si>
  <si>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</si>
  <si>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</si>
  <si>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</si>
  <si>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</si>
  <si>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</si>
  <si>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</si>
  <si>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</si>
  <si>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</si>
  <si>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</si>
  <si>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</si>
  <si>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</si>
  <si>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</si>
  <si>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</si>
  <si>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</si>
  <si>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</si>
  <si>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</si>
  <si>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</si>
  <si>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</si>
  <si>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</si>
  <si>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</si>
  <si>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</si>
  <si>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</si>
  <si>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</si>
  <si>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</si>
  <si>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</si>
  <si>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</si>
  <si>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</si>
  <si>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</si>
  <si>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</si>
  <si>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</si>
  <si>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</si>
  <si>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</si>
  <si>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</si>
  <si>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</si>
  <si>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</si>
  <si>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</si>
  <si>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</si>
  <si>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</si>
  <si>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</si>
  <si>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</si>
  <si>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</si>
  <si>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</si>
  <si>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</si>
  <si>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</si>
  <si>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</si>
  <si>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</si>
  <si>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</si>
  <si>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</si>
  <si>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</si>
  <si>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</si>
  <si>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</si>
  <si>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</si>
  <si>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</si>
  <si>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</si>
  <si>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</si>
  <si>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</si>
  <si>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</si>
  <si>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</si>
  <si>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</si>
  <si>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</si>
  <si>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</si>
  <si>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</si>
  <si>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</si>
  <si>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</si>
  <si>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</si>
  <si>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</si>
  <si>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</si>
  <si>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</si>
  <si>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</si>
  <si>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</si>
  <si>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</si>
  <si>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</si>
  <si>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</si>
  <si>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</si>
  <si>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</si>
  <si>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</si>
  <si>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</si>
  <si>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</si>
  <si>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</si>
  <si>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</si>
  <si>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</si>
  <si>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</si>
  <si>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</si>
  <si>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</si>
  <si>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</si>
  <si>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</si>
  <si>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</si>
  <si>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</si>
  <si>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</si>
  <si>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</si>
  <si>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</si>
  <si>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</si>
  <si>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</si>
  <si>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</si>
  <si>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</si>
  <si>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</si>
  <si>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</si>
  <si>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</si>
  <si>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</si>
  <si>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</si>
  <si>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</si>
  <si>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</si>
  <si>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</si>
  <si>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</si>
  <si>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</si>
  <si>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</si>
  <si>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</si>
  <si>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</si>
  <si>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</si>
  <si>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</si>
  <si>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</si>
  <si>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</si>
  <si>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</si>
  <si>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</si>
  <si>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</si>
  <si>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</si>
  <si>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</si>
  <si>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</si>
  <si>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</si>
  <si>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</si>
  <si>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</si>
  <si>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</si>
  <si>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</si>
  <si>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</si>
  <si>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</si>
  <si>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</si>
  <si>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</si>
  <si>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</si>
  <si>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</si>
  <si>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</si>
  <si>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</si>
  <si>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</si>
  <si>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</si>
  <si>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</si>
  <si>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</si>
  <si>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</si>
  <si>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</si>
  <si>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</si>
  <si>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</si>
  <si>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</si>
  <si>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</si>
  <si>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</si>
  <si>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</si>
  <si>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</si>
  <si>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</si>
  <si>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</si>
  <si>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</si>
  <si>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</si>
  <si>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</si>
  <si>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</si>
  <si>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</si>
  <si>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</si>
  <si>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</si>
  <si>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</si>
  <si>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</si>
  <si>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</si>
  <si>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</si>
  <si>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</si>
  <si>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</si>
  <si>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</si>
  <si>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</si>
  <si>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</si>
  <si>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</si>
  <si>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</si>
  <si>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</si>
  <si>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</si>
  <si>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</si>
  <si>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</si>
  <si>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</si>
  <si>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</si>
  <si>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</si>
  <si>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</si>
  <si>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</si>
  <si>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</si>
  <si>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</si>
  <si>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</si>
  <si>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</si>
  <si>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</si>
  <si>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</si>
  <si>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</si>
  <si>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</si>
  <si>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</si>
  <si>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</si>
  <si>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</si>
  <si>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</si>
  <si>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</si>
  <si>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</si>
  <si>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</si>
  <si>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</si>
  <si>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</si>
  <si>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</si>
  <si>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</si>
  <si>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</si>
  <si>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</si>
  <si>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</si>
  <si>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</si>
  <si>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</si>
  <si>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</si>
  <si>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</si>
  <si>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</si>
  <si>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</si>
  <si>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</si>
  <si>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</si>
  <si>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</si>
  <si>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</si>
  <si>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</si>
  <si>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</si>
  <si>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</si>
  <si>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</si>
  <si>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</si>
  <si>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</si>
  <si>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</si>
  <si>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</si>
  <si>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</si>
  <si>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</si>
  <si>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</si>
  <si>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</si>
  <si>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</si>
  <si>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</si>
  <si>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</si>
  <si>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</si>
  <si>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</si>
  <si>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</si>
  <si>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</si>
  <si>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</si>
  <si>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</si>
  <si>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</si>
  <si>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</si>
  <si>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</si>
  <si>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</si>
  <si>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</si>
  <si>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</si>
  <si>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</si>
  <si>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</si>
  <si>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</si>
  <si>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</si>
  <si>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</si>
  <si>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</si>
  <si>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</si>
  <si>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</si>
  <si>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</si>
  <si>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</si>
  <si>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</si>
  <si>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</si>
  <si>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</si>
  <si>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</si>
  <si>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</si>
  <si>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</si>
  <si>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</si>
  <si>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</si>
  <si>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</si>
  <si>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</si>
  <si>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</si>
  <si>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</si>
  <si>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</si>
  <si>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</si>
  <si>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</si>
  <si>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</si>
  <si>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</si>
  <si>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</si>
  <si>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</si>
  <si>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</si>
  <si>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</si>
  <si>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</si>
  <si>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</si>
  <si>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</si>
  <si>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</si>
  <si>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</si>
  <si>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</si>
  <si>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</si>
  <si>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</si>
  <si>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</si>
  <si>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</si>
  <si>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</si>
  <si>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</si>
  <si>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</si>
  <si>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</si>
  <si>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</si>
  <si>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</si>
  <si>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</si>
  <si>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</si>
  <si>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</si>
  <si>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</si>
  <si>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</si>
  <si>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</si>
  <si>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</si>
  <si>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</si>
  <si>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</si>
  <si>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</si>
  <si>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</si>
  <si>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</si>
  <si>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</si>
  <si>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</si>
  <si>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</si>
  <si>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</si>
  <si>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</si>
  <si>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</si>
  <si>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</si>
  <si>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</si>
  <si>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</si>
  <si>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</si>
  <si>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</si>
  <si>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</si>
  <si>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</si>
  <si>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</si>
  <si>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</si>
  <si>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</si>
  <si>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</si>
  <si>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</si>
  <si>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</si>
  <si>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</si>
  <si>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</si>
  <si>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</si>
  <si>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</si>
  <si>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</si>
  <si>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</si>
  <si>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</si>
  <si>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</si>
  <si>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</si>
  <si>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</si>
  <si>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</si>
  <si>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</si>
  <si>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</si>
  <si>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</si>
  <si>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</si>
  <si>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</si>
  <si>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</si>
  <si>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</si>
  <si>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</si>
  <si>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</si>
  <si>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</si>
  <si>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</si>
  <si>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</si>
  <si>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</si>
  <si>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</si>
  <si>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</si>
  <si>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</si>
  <si>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</si>
  <si>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</si>
  <si>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</si>
  <si>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</si>
  <si>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</si>
  <si>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</si>
  <si>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</si>
  <si>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</si>
  <si>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</si>
  <si>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</si>
  <si>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</si>
  <si>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</si>
  <si>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</si>
  <si>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</si>
  <si>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</si>
  <si>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</si>
  <si>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</si>
  <si>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</si>
  <si>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</si>
  <si>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</si>
  <si>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</si>
  <si>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</si>
  <si>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</si>
  <si>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</si>
  <si>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</si>
  <si>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</si>
  <si>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</si>
  <si>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</si>
  <si>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</si>
  <si>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</si>
  <si>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</si>
  <si>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</si>
  <si>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</si>
  <si>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</si>
  <si>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</si>
  <si>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</si>
  <si>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</si>
  <si>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</si>
  <si>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</si>
  <si>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</si>
  <si>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</si>
  <si>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</si>
  <si>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</si>
  <si>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</si>
  <si>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</si>
  <si>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</si>
  <si>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</si>
  <si>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</si>
  <si>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</si>
  <si>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</si>
  <si>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</si>
  <si>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</si>
  <si>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</si>
  <si>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</si>
  <si>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</si>
  <si>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</si>
  <si>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</si>
  <si>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</si>
  <si>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</si>
  <si>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</si>
  <si>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</si>
  <si>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</si>
  <si>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</si>
  <si>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</si>
  <si>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</si>
  <si>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</si>
  <si>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</si>
  <si>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</si>
  <si>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</si>
  <si>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</si>
  <si>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</si>
  <si>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</si>
  <si>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</si>
  <si>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</si>
  <si>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</si>
  <si>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</si>
  <si>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</si>
  <si>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</si>
  <si>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</si>
  <si>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</si>
  <si>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</si>
  <si>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</si>
  <si>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</si>
  <si>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</si>
  <si>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</si>
  <si>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</si>
  <si>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</si>
  <si>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</si>
  <si>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</si>
  <si>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</si>
  <si>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</si>
  <si>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</si>
  <si>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</si>
  <si>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</si>
  <si>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</si>
  <si>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</si>
  <si>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</si>
  <si>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</si>
  <si>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</si>
  <si>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</si>
  <si>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</si>
  <si>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</si>
  <si>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</si>
  <si>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</si>
  <si>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</si>
  <si>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</si>
  <si>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</si>
  <si>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</si>
  <si>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</si>
  <si>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</si>
  <si>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</si>
  <si>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</si>
  <si>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</si>
  <si>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</si>
  <si>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</si>
  <si>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</si>
  <si>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</si>
  <si>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</si>
  <si>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</si>
  <si>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</si>
  <si>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</si>
  <si>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</si>
  <si>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</si>
  <si>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</si>
  <si>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</si>
  <si>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</si>
  <si>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</si>
  <si>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</si>
  <si>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</si>
  <si>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</si>
  <si>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</si>
  <si>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</si>
  <si>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</si>
  <si>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</si>
  <si>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</si>
  <si>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</si>
  <si>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</si>
  <si>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</si>
  <si>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</si>
  <si>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</si>
  <si>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</si>
  <si>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</si>
  <si>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</si>
  <si>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</si>
  <si>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</si>
  <si>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</si>
  <si>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</si>
  <si>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</si>
  <si>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</si>
  <si>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</si>
  <si>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</si>
  <si>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</si>
  <si>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</si>
  <si>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</si>
  <si>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</si>
  <si>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</si>
  <si>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</si>
  <si>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</si>
  <si>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</si>
  <si>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</si>
  <si>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</si>
  <si>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</si>
  <si>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</si>
  <si>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</si>
  <si>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</si>
  <si>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</si>
  <si>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</si>
  <si>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</si>
  <si>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</si>
  <si>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</si>
  <si>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</si>
  <si>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</si>
  <si>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</si>
  <si>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</si>
  <si>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</si>
  <si>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</si>
  <si>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</si>
  <si>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</si>
  <si>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</si>
  <si>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</si>
  <si>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</si>
  <si>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</si>
  <si>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</si>
  <si>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</si>
  <si>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</si>
  <si>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</si>
  <si>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</si>
  <si>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</si>
  <si>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</si>
  <si>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</si>
  <si>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</si>
  <si>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</si>
  <si>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</si>
  <si>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</si>
  <si>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</si>
  <si>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</si>
  <si>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</si>
  <si>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</si>
  <si>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</si>
  <si>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</si>
  <si>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</si>
  <si>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</si>
  <si>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</si>
  <si>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</si>
  <si>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</si>
  <si>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</si>
  <si>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</si>
  <si>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</si>
  <si>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</si>
  <si>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</si>
  <si>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</si>
  <si>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</si>
  <si>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</si>
  <si>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</si>
  <si>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</si>
  <si>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</si>
  <si>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</si>
  <si>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</si>
  <si>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</si>
  <si>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</si>
  <si>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</si>
  <si>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</si>
  <si>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</si>
  <si>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</si>
  <si>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</si>
  <si>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</si>
  <si>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</si>
  <si>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</si>
  <si>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</si>
  <si>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</si>
  <si>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</si>
  <si>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</si>
  <si>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</si>
  <si>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</si>
  <si>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</si>
  <si>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</si>
  <si>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</si>
  <si>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</si>
  <si>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</si>
  <si>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</si>
  <si>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</si>
  <si>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</si>
  <si>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</si>
  <si>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</si>
  <si>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</si>
  <si>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</si>
  <si>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</si>
  <si>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</si>
  <si>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</si>
  <si>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</si>
  <si>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</si>
  <si>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</si>
  <si>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</si>
  <si>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</si>
  <si>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</si>
  <si>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</si>
  <si>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</si>
  <si>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</si>
  <si>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</si>
  <si>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</si>
  <si>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</si>
  <si>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</si>
  <si>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</si>
  <si>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</si>
  <si>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</si>
  <si>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</si>
  <si>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</si>
  <si>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</si>
  <si>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</si>
  <si>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</si>
  <si>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</si>
  <si>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</si>
  <si>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</si>
  <si>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</si>
  <si>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</si>
  <si>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</si>
  <si>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</si>
  <si>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</si>
  <si>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</si>
  <si>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</si>
  <si>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</si>
  <si>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</si>
  <si>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</si>
  <si>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</si>
  <si>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</si>
  <si>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</si>
  <si>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</si>
  <si>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</si>
  <si>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</si>
  <si>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</si>
  <si>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</si>
  <si>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</si>
  <si>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</si>
  <si>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</si>
  <si>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</si>
  <si>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</si>
  <si>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</si>
  <si>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</si>
  <si>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</si>
  <si>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</si>
  <si>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</si>
  <si>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</si>
  <si>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</si>
  <si>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</si>
  <si>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</si>
  <si>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</si>
  <si>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</si>
  <si>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</si>
  <si>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</si>
  <si>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</si>
  <si>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</si>
  <si>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</si>
  <si>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</si>
  <si>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</si>
  <si>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</si>
  <si>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</si>
  <si>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</si>
  <si>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</si>
  <si>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</si>
  <si>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</si>
  <si>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</si>
  <si>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</si>
  <si>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</si>
  <si>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</si>
  <si>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</si>
  <si>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</si>
  <si>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</si>
  <si>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</si>
  <si>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</si>
  <si>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</si>
  <si>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</si>
  <si>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</si>
  <si>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</si>
  <si>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</si>
  <si>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</si>
  <si>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</si>
  <si>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</si>
  <si>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</si>
  <si>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</si>
  <si>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</si>
  <si>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</si>
  <si>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</si>
  <si>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</si>
  <si>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</si>
  <si>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</si>
  <si>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</si>
  <si>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</si>
  <si>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</si>
  <si>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</si>
  <si>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</si>
  <si>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</si>
  <si>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</si>
  <si>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</si>
  <si>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</si>
  <si>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</si>
  <si>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</si>
  <si>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</si>
  <si>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</si>
  <si>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</si>
  <si>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</si>
  <si>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</si>
  <si>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</si>
  <si>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</si>
  <si>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</si>
  <si>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</si>
  <si>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</si>
  <si>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</si>
  <si>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</si>
  <si>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</si>
  <si>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</si>
  <si>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</si>
  <si>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</si>
  <si>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</si>
  <si>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</si>
  <si>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</si>
  <si>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</si>
  <si>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</si>
  <si>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</si>
  <si>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</si>
  <si>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</si>
  <si>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</si>
  <si>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</si>
  <si>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</si>
  <si>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</si>
  <si>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</si>
  <si>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</si>
  <si>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</si>
  <si>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</si>
  <si>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</si>
  <si>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</si>
  <si>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</si>
  <si>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</si>
  <si>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</si>
  <si>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</si>
  <si>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</si>
  <si>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</si>
  <si>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</si>
  <si>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</si>
  <si>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</si>
  <si>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</si>
  <si>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</si>
  <si>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</si>
  <si>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</si>
  <si>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</si>
  <si>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</si>
  <si>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</si>
  <si>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</si>
  <si>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</si>
  <si>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</si>
  <si>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</si>
  <si>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</si>
  <si>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</si>
  <si>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</si>
  <si>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</si>
  <si>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</si>
  <si>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</si>
  <si>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</si>
  <si>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</si>
  <si>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</si>
  <si>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</si>
  <si>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</si>
  <si>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</si>
  <si>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</si>
  <si>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</si>
  <si>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</si>
  <si>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</si>
  <si>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</si>
  <si>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</si>
  <si>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</si>
  <si>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</si>
  <si>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</si>
  <si>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</si>
  <si>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</si>
  <si>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</si>
  <si>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</si>
  <si>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</si>
  <si>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</si>
  <si>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</si>
  <si>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</si>
  <si>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</si>
  <si>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</si>
  <si>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</si>
  <si>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</si>
  <si>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</si>
  <si>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</si>
  <si>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</si>
  <si>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</si>
  <si>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</si>
  <si>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</si>
  <si>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</si>
  <si>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</si>
  <si>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</si>
  <si>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</si>
  <si>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</si>
  <si>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</si>
  <si>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</si>
  <si>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</si>
  <si>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</si>
  <si>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</si>
  <si>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</si>
  <si>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</si>
  <si>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</si>
  <si>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</si>
  <si>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</si>
  <si>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</si>
  <si>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</si>
  <si>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</si>
  <si>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</si>
  <si>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</si>
  <si>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</si>
  <si>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</si>
  <si>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</si>
  <si>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</si>
  <si>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</si>
  <si>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</si>
  <si>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</si>
  <si>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</si>
  <si>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</si>
  <si>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</si>
  <si>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</si>
  <si>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</si>
  <si>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</si>
  <si>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</si>
  <si>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</si>
  <si>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</si>
  <si>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</si>
  <si>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</si>
  <si>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</si>
  <si>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</si>
  <si>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</si>
  <si>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</si>
  <si>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</si>
  <si>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</si>
  <si>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</si>
  <si>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</si>
  <si>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</si>
  <si>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</si>
  <si>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</si>
  <si>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</si>
  <si>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</si>
  <si>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</si>
  <si>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</si>
  <si>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</si>
  <si>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</si>
  <si>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</si>
  <si>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</si>
  <si>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</si>
  <si>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</si>
  <si>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</si>
  <si>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</si>
  <si>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</si>
  <si>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</si>
  <si>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</si>
  <si>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</si>
  <si>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</si>
  <si>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</si>
  <si>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</si>
  <si>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</si>
  <si>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</si>
  <si>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</si>
  <si>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</si>
  <si>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</si>
  <si>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</si>
  <si>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</si>
  <si>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</si>
  <si>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</si>
  <si>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</si>
  <si>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</si>
  <si>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</si>
  <si>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</si>
  <si>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</si>
  <si>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</si>
  <si>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</si>
  <si>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</si>
  <si>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</si>
  <si>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</si>
  <si>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</si>
  <si>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</si>
  <si>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</si>
  <si>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</si>
  <si>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</si>
  <si>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</si>
  <si>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</si>
  <si>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</si>
  <si>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</si>
  <si>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</si>
  <si>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</si>
  <si>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</si>
  <si>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</si>
  <si>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</si>
  <si>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</si>
  <si>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</si>
  <si>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</si>
  <si>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</si>
  <si>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</si>
  <si>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</si>
  <si>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</si>
  <si>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</si>
  <si>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</si>
  <si>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</si>
  <si>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</si>
  <si>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</si>
  <si>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</si>
  <si>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</si>
  <si>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</si>
  <si>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</si>
  <si>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</si>
  <si>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</si>
  <si>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</si>
  <si>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</si>
  <si>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</si>
  <si>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</si>
  <si>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</si>
  <si>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</si>
  <si>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</si>
  <si>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</si>
  <si>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</si>
  <si>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</si>
  <si>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</si>
  <si>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</si>
  <si>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</si>
  <si>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</si>
  <si>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</si>
  <si>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</si>
  <si>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</si>
  <si>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</si>
  <si>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</si>
  <si>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</si>
  <si>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</si>
  <si>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</si>
  <si>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</si>
  <si>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</si>
  <si>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</si>
  <si>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</si>
  <si>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</si>
  <si>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</si>
  <si>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</si>
  <si>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</si>
  <si>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</si>
  <si>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</si>
  <si>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</si>
  <si>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</si>
  <si>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</si>
  <si>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</si>
  <si>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</si>
  <si>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</si>
  <si>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</si>
  <si>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</si>
  <si>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</si>
  <si>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</si>
  <si>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</si>
  <si>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</si>
  <si>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</si>
  <si>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</si>
  <si>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</si>
  <si>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</si>
  <si>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</si>
  <si>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</si>
  <si>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</si>
  <si>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</si>
  <si>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</si>
  <si>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</si>
  <si>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</si>
  <si>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</si>
  <si>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</si>
  <si>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</si>
  <si>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</si>
  <si>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</si>
  <si>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</si>
  <si>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</si>
  <si>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</si>
  <si>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</si>
  <si>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</si>
  <si>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</si>
  <si>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</si>
  <si>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</si>
  <si>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</si>
  <si>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</si>
  <si>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</si>
  <si>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</si>
  <si>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</si>
  <si>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</si>
  <si>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</si>
  <si>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</si>
  <si>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</si>
  <si>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</si>
  <si>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</si>
  <si>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</si>
  <si>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</si>
  <si>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</si>
  <si>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</si>
  <si>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</si>
  <si>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</si>
  <si>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</si>
  <si>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</si>
  <si>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</si>
  <si>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</si>
  <si>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</si>
  <si>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</si>
  <si>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</si>
  <si>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</si>
  <si>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</si>
  <si>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</si>
  <si>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</si>
  <si>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</si>
  <si>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</si>
  <si>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</si>
  <si>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</si>
  <si>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</si>
  <si>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</si>
  <si>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</si>
  <si>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</si>
  <si>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</si>
  <si>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</si>
  <si>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</si>
  <si>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</si>
  <si>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</si>
  <si>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</si>
  <si>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</si>
  <si>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</si>
  <si>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</si>
  <si>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</si>
  <si>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</si>
  <si>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</si>
  <si>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</si>
  <si>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</si>
  <si>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</si>
  <si>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</si>
  <si>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</si>
  <si>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</si>
  <si>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</si>
  <si>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</si>
  <si>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</si>
  <si>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</si>
  <si>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</si>
  <si>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</si>
  <si>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</si>
  <si>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</si>
  <si>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</si>
  <si>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</si>
  <si>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</si>
  <si>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</si>
  <si>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</si>
  <si>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</si>
  <si>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</si>
  <si>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</si>
  <si>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</si>
  <si>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</si>
  <si>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</si>
  <si>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</si>
  <si>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</si>
  <si>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</si>
  <si>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</si>
  <si>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</si>
  <si>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</si>
  <si>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</si>
  <si>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</si>
  <si>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</si>
  <si>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</si>
  <si>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</si>
  <si>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</si>
  <si>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</si>
  <si>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</si>
  <si>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</si>
  <si>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</si>
  <si>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</si>
  <si>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</si>
  <si>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</si>
  <si>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</si>
  <si>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</si>
  <si>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</si>
  <si>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</si>
  <si>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</si>
  <si>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</si>
  <si>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</si>
  <si>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</si>
  <si>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</si>
  <si>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</si>
  <si>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</si>
  <si>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</si>
  <si>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</si>
  <si>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</si>
  <si>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</si>
  <si>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</si>
  <si>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</si>
  <si>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</si>
  <si>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</si>
  <si>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</si>
  <si>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</si>
  <si>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</si>
  <si>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</si>
  <si>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</si>
  <si>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</si>
  <si>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</si>
  <si>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</si>
  <si>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</si>
  <si>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</si>
  <si>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</si>
  <si>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</si>
  <si>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</si>
  <si>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</si>
  <si>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</si>
  <si>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</si>
  <si>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</si>
  <si>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</si>
  <si>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</si>
  <si>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</si>
  <si>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</si>
  <si>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</si>
  <si>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</si>
  <si>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</si>
  <si>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</si>
  <si>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</si>
  <si>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</si>
  <si>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</si>
  <si>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</si>
  <si>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</si>
  <si>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</si>
  <si>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</si>
  <si>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</si>
  <si>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</si>
  <si>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</si>
  <si>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</si>
  <si>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</si>
  <si>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</si>
  <si>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</si>
  <si>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</si>
  <si>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</si>
  <si>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</si>
  <si>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</si>
  <si>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</si>
  <si>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</si>
  <si>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</si>
  <si>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</si>
  <si>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</si>
  <si>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</si>
  <si>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</si>
  <si>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</si>
  <si>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</si>
  <si>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</si>
  <si>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</si>
  <si>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</si>
  <si>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</si>
  <si>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</si>
  <si>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</si>
  <si>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</si>
  <si>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</si>
  <si>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</si>
  <si>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</si>
  <si>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</si>
  <si>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</si>
  <si>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</si>
  <si>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</si>
  <si>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</si>
  <si>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</si>
  <si>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</si>
  <si>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</si>
  <si>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</si>
  <si>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</si>
  <si>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</si>
  <si>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</si>
  <si>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</si>
  <si>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</si>
  <si>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</si>
  <si>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</si>
  <si>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</si>
  <si>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</si>
  <si>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</si>
  <si>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</si>
  <si>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</si>
  <si>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</si>
  <si>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</si>
  <si>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</si>
  <si>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</si>
  <si>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</si>
  <si>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</si>
  <si>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</si>
  <si>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</si>
  <si>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</si>
  <si>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</si>
  <si>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</si>
  <si>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</si>
  <si>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</si>
  <si>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</si>
  <si>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</si>
  <si>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</si>
  <si>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</si>
  <si>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</si>
  <si>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</si>
  <si>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</si>
  <si>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</si>
  <si>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</si>
  <si>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</si>
  <si>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</si>
  <si>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</si>
  <si>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</si>
  <si>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</si>
  <si>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</si>
  <si>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</si>
  <si>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</si>
  <si>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</si>
  <si>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</si>
  <si>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</si>
  <si>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</si>
  <si>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</si>
  <si>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</si>
  <si>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</si>
  <si>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</si>
  <si>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</si>
  <si>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</si>
  <si>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</si>
  <si>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</si>
  <si>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</si>
  <si>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</si>
  <si>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</si>
  <si>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</si>
  <si>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</si>
  <si>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</si>
  <si>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</si>
  <si>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</si>
  <si>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</si>
  <si>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</si>
  <si>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</si>
  <si>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</si>
  <si>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</si>
  <si>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</si>
  <si>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</si>
  <si>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</si>
  <si>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</si>
  <si>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</si>
  <si>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</si>
  <si>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</si>
  <si>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</si>
  <si>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</si>
  <si>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</si>
  <si>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</si>
  <si>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</si>
  <si>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</si>
  <si>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</si>
  <si>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</si>
  <si>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</si>
  <si>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</si>
  <si>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</si>
  <si>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</si>
  <si>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</si>
  <si>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</si>
  <si>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</si>
  <si>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</si>
  <si>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</si>
  <si>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</si>
  <si>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</si>
  <si>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</si>
  <si>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</si>
  <si>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</si>
  <si>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</si>
  <si>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</si>
  <si>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</si>
  <si>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</si>
  <si>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</si>
  <si>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</si>
  <si>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</si>
  <si>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</si>
  <si>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</si>
  <si>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</si>
  <si>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</si>
  <si>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</si>
  <si>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</si>
  <si>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</si>
  <si>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</si>
  <si>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</si>
  <si>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</si>
  <si>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</si>
  <si>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</si>
  <si>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</si>
  <si>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</si>
  <si>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</si>
  <si>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</si>
  <si>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</si>
  <si>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</si>
  <si>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</si>
  <si>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</si>
  <si>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</si>
  <si>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</si>
  <si>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</si>
  <si>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</si>
  <si>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</si>
  <si>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</si>
  <si>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</si>
  <si>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</si>
  <si>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</si>
  <si>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</si>
  <si>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</si>
  <si>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</si>
  <si>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</si>
  <si>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</si>
  <si>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</si>
  <si>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</si>
  <si>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</si>
  <si>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</si>
  <si>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</si>
  <si>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</si>
  <si>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</si>
  <si>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</si>
  <si>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</si>
  <si>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</si>
  <si>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</si>
  <si>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</si>
  <si>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</si>
  <si>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</si>
  <si>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</si>
  <si>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</si>
  <si>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</si>
  <si>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</si>
  <si>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</si>
  <si>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</si>
  <si>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</si>
  <si>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</si>
  <si>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</si>
  <si>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</si>
  <si>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</si>
  <si>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</si>
  <si>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</si>
  <si>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</si>
  <si>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</si>
  <si>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</si>
  <si>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</si>
  <si>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</si>
  <si>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</si>
  <si>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</si>
  <si>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</si>
  <si>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</si>
  <si>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</si>
  <si>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</si>
  <si>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</si>
  <si>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</si>
  <si>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</si>
  <si>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</si>
  <si>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</si>
  <si>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</si>
  <si>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</si>
  <si>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</si>
  <si>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</si>
  <si>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</si>
  <si>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</si>
  <si>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</si>
  <si>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</si>
  <si>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</si>
  <si>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</si>
  <si>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</si>
  <si>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</si>
  <si>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</si>
  <si>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</si>
  <si>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</si>
  <si>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</si>
  <si>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</si>
  <si>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</si>
  <si>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</si>
  <si>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</si>
  <si>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</si>
  <si>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</si>
  <si>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</si>
  <si>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</si>
  <si>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</si>
  <si>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</si>
  <si>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</si>
  <si>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</si>
  <si>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</si>
  <si>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</si>
  <si>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</si>
  <si>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</si>
  <si>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</si>
  <si>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</si>
  <si>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</si>
  <si>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</si>
  <si>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</si>
  <si>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</si>
  <si>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</si>
  <si>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</si>
  <si>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</si>
  <si>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</si>
  <si>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</si>
  <si>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</si>
  <si>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</si>
  <si>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</si>
  <si>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</si>
  <si>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</si>
  <si>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</si>
  <si>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</si>
  <si>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</si>
  <si>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</si>
  <si>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</si>
  <si>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</si>
  <si>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</si>
  <si>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</si>
  <si>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</si>
  <si>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</si>
  <si>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</si>
  <si>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</si>
  <si>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</si>
  <si>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</si>
  <si>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</si>
  <si>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</si>
  <si>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</si>
  <si>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</si>
  <si>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</si>
  <si>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</si>
  <si>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</si>
  <si>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</si>
  <si>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</si>
  <si>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</si>
  <si>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</si>
  <si>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</si>
  <si>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</si>
  <si>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</si>
  <si>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</si>
  <si>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</si>
  <si>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</si>
  <si>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</si>
  <si>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</si>
  <si>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</si>
  <si>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</si>
  <si>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</si>
  <si>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</si>
  <si>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</si>
  <si>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</si>
  <si>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</si>
  <si>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</si>
  <si>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</si>
  <si>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</si>
  <si>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</si>
  <si>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</si>
  <si>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</si>
  <si>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</si>
  <si>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</si>
  <si>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</si>
  <si>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</si>
  <si>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</si>
  <si>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</si>
  <si>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</si>
  <si>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</si>
  <si>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</si>
  <si>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</si>
  <si>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</si>
  <si>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</si>
  <si>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</si>
  <si>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</si>
  <si>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</si>
  <si>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</si>
  <si>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</si>
  <si>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</si>
  <si>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</si>
  <si>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</si>
  <si>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</si>
  <si>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</si>
  <si>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</si>
  <si>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</si>
  <si>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</si>
  <si>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</si>
  <si>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</si>
  <si>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</si>
  <si>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</si>
  <si>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</si>
  <si>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</si>
  <si>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</si>
  <si>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</si>
  <si>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</si>
  <si>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</si>
  <si>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</si>
  <si>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</si>
  <si>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</si>
  <si>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</si>
  <si>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</si>
  <si>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</si>
  <si>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</si>
  <si>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</si>
  <si>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</si>
  <si>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</si>
  <si>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</si>
  <si>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</si>
  <si>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</si>
  <si>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</si>
  <si>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</si>
  <si>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</si>
  <si>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</si>
  <si>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</si>
  <si>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</si>
  <si>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</si>
  <si>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</si>
  <si>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</si>
  <si>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</si>
  <si>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</si>
  <si>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</si>
  <si>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</si>
  <si>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</si>
  <si>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</si>
  <si>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</si>
  <si>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</si>
  <si>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</si>
  <si>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</si>
  <si>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</si>
  <si>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</si>
  <si>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</si>
  <si>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</si>
  <si>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</si>
  <si>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</si>
  <si>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</si>
  <si>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</si>
  <si>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</si>
  <si>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</si>
  <si>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</si>
  <si>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</si>
  <si>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</si>
  <si>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</si>
  <si>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</si>
  <si>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</si>
  <si>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</si>
  <si>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</si>
  <si>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</si>
  <si>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</si>
  <si>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</si>
  <si>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</si>
  <si>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</si>
  <si>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</si>
  <si>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</si>
  <si>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</si>
  <si>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</si>
  <si>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</si>
  <si>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</si>
  <si>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</si>
  <si>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</si>
  <si>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</si>
  <si>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</si>
  <si>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</si>
  <si>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</si>
  <si>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</si>
  <si>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</si>
  <si>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</si>
  <si>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</si>
  <si>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</si>
  <si>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</si>
  <si>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</si>
  <si>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</si>
  <si>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</si>
  <si>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</si>
  <si>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</si>
  <si>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</si>
  <si>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</si>
  <si>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</si>
  <si>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</si>
  <si>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</si>
  <si>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</si>
  <si>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</si>
  <si>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</si>
  <si>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</si>
  <si>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</si>
  <si>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</si>
  <si>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</si>
  <si>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</si>
  <si>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</si>
  <si>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</si>
  <si>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</si>
  <si>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</si>
  <si>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</si>
  <si>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</si>
  <si>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</si>
  <si>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</si>
  <si>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</si>
  <si>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</si>
  <si>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</si>
  <si>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</si>
  <si>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</si>
  <si>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</si>
  <si>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</si>
  <si>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</si>
  <si>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</si>
  <si>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</si>
  <si>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</si>
  <si>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</si>
  <si>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</si>
  <si>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</si>
  <si>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</si>
  <si>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</si>
  <si>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</si>
  <si>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</si>
  <si>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</si>
  <si>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</si>
  <si>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</si>
  <si>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</si>
  <si>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</si>
  <si>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</si>
  <si>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</si>
  <si>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</si>
  <si>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</si>
  <si>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</si>
  <si>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</si>
  <si>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</si>
  <si>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</si>
  <si>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</si>
  <si>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</si>
  <si>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</si>
  <si>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</si>
  <si>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</si>
  <si>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</si>
  <si>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</si>
  <si>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</si>
  <si>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</si>
  <si>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</si>
  <si>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</si>
  <si>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</si>
  <si>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</si>
  <si>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</si>
  <si>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</si>
  <si>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</si>
  <si>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</si>
  <si>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</si>
  <si>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</si>
  <si>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</si>
  <si>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</si>
  <si>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</si>
  <si>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</si>
  <si>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</si>
  <si>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</si>
  <si>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</si>
  <si>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</si>
  <si>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</si>
  <si>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</si>
  <si>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</si>
  <si>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</si>
  <si>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</si>
  <si>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</si>
  <si>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</si>
  <si>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</si>
  <si>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</si>
  <si>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</si>
  <si>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</si>
  <si>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</si>
  <si>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</si>
  <si>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</si>
  <si>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</si>
  <si>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</si>
  <si>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</si>
  <si>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</si>
  <si>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</si>
  <si>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</si>
  <si>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</si>
  <si>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</si>
  <si>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</si>
  <si>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</si>
  <si>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</si>
  <si>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</si>
  <si>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</si>
  <si>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</si>
  <si>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</si>
  <si>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</si>
  <si>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</si>
  <si>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</si>
  <si>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</si>
  <si>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</si>
  <si>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</si>
  <si>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</si>
  <si>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</si>
  <si>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</si>
  <si>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</si>
  <si>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</si>
  <si>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</si>
  <si>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</si>
  <si>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</si>
  <si>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</si>
  <si>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</si>
  <si>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</si>
  <si>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</si>
  <si>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</si>
  <si>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</si>
  <si>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</si>
  <si>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</si>
  <si>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</si>
  <si>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</si>
  <si>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</si>
  <si>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</si>
  <si>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</si>
  <si>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</si>
  <si>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</si>
  <si>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</si>
  <si>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</si>
  <si>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</si>
  <si>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</si>
  <si>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</si>
  <si>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</si>
  <si>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</si>
  <si>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</si>
  <si>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</si>
  <si>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</si>
  <si>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</si>
  <si>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</si>
  <si>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</si>
  <si>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</si>
  <si>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</si>
  <si>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</si>
  <si>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</si>
  <si>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</si>
  <si>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</si>
  <si>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</si>
  <si>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</si>
  <si>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</si>
  <si>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</si>
  <si>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</si>
  <si>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</si>
  <si>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</si>
  <si>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</si>
  <si>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</si>
  <si>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</si>
  <si>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</si>
  <si>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</si>
  <si>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</si>
  <si>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</si>
  <si>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</si>
  <si>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</si>
  <si>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</si>
  <si>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</si>
  <si>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</si>
  <si>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</si>
  <si>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</si>
  <si>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</si>
  <si>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</si>
  <si>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</si>
  <si>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</si>
  <si>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</si>
  <si>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</si>
  <si>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</si>
  <si>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</si>
  <si>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</si>
  <si>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</si>
  <si>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</si>
  <si>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</si>
  <si>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</si>
  <si>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</si>
  <si>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</si>
  <si>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</si>
  <si>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</si>
  <si>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</si>
  <si>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</si>
  <si>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</si>
  <si>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</si>
  <si>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</si>
  <si>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</si>
  <si>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</si>
  <si>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</si>
  <si>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</si>
  <si>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</si>
  <si>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</si>
  <si>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</si>
  <si>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</si>
  <si>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</si>
  <si>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</si>
  <si>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</si>
  <si>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</si>
  <si>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</si>
  <si>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</si>
  <si>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</si>
  <si>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</si>
  <si>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</si>
  <si>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</si>
  <si>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</si>
  <si>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</si>
  <si>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</si>
  <si>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</si>
  <si>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</si>
  <si>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</si>
  <si>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</si>
  <si>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</si>
  <si>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</si>
  <si>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</si>
  <si>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</si>
  <si>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</si>
  <si>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</si>
  <si>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</si>
  <si>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</si>
  <si>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</si>
  <si>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</si>
  <si>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</si>
  <si>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</si>
  <si>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</si>
  <si>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</si>
  <si>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</si>
  <si>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</si>
  <si>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</si>
  <si>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</si>
  <si>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</si>
  <si>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</si>
  <si>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</si>
  <si>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</si>
  <si>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</si>
  <si>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</si>
  <si>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</si>
  <si>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</si>
  <si>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</si>
  <si>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</si>
  <si>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</si>
  <si>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</si>
  <si>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</si>
  <si>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</si>
  <si>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</si>
  <si>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</si>
  <si>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</si>
  <si>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</si>
  <si>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</si>
  <si>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</si>
  <si>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</si>
  <si>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</si>
  <si>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</si>
  <si>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</si>
  <si>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</si>
  <si>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</si>
  <si>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</si>
  <si>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</si>
  <si>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</si>
  <si>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</si>
  <si>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</si>
  <si>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</si>
  <si>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</si>
  <si>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</si>
  <si>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</si>
  <si>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</si>
  <si>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</si>
  <si>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</si>
  <si>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</si>
  <si>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</si>
  <si>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</si>
  <si>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</si>
  <si>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</si>
  <si>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</si>
  <si>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</si>
  <si>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</si>
  <si>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</si>
  <si>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</si>
  <si>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</si>
  <si>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</si>
  <si>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</si>
  <si>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</si>
  <si>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</si>
  <si>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</si>
  <si>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</si>
  <si>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</si>
  <si>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</si>
  <si>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</si>
  <si>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</si>
  <si>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</si>
  <si>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</si>
  <si>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</si>
  <si>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</si>
  <si>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</si>
  <si>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</si>
  <si>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</si>
  <si>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</si>
  <si>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</si>
  <si>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</si>
  <si>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</si>
  <si>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</si>
  <si>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</si>
  <si>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</si>
  <si>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</si>
  <si>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</si>
  <si>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</si>
  <si>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</si>
  <si>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</si>
  <si>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</si>
  <si>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</si>
  <si>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</si>
  <si>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</si>
  <si>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</si>
  <si>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</si>
  <si>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</si>
  <si>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</si>
  <si>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</si>
  <si>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</si>
  <si>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</si>
  <si>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</si>
  <si>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</si>
  <si>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</si>
  <si>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</si>
  <si>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</si>
  <si>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</si>
  <si>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</si>
  <si>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</si>
  <si>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</si>
  <si>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</si>
  <si>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</si>
  <si>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</si>
  <si>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</si>
  <si>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</si>
  <si>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</si>
  <si>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</si>
  <si>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</si>
  <si>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</si>
  <si>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</si>
  <si>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</si>
  <si>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</si>
  <si>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</si>
  <si>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</si>
  <si>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</si>
  <si>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</si>
  <si>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</si>
  <si>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</si>
  <si>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</si>
  <si>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</si>
  <si>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</si>
  <si>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</si>
  <si>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</si>
  <si>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</si>
  <si>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</si>
  <si>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</si>
  <si>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</si>
  <si>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</si>
  <si>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</si>
  <si>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</si>
  <si>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</si>
  <si>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</si>
  <si>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</si>
  <si>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</si>
  <si>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</si>
  <si>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</si>
  <si>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</si>
  <si>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</si>
  <si>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</si>
  <si>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</si>
  <si>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</si>
  <si>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</si>
  <si>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</si>
  <si>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</si>
  <si>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</si>
  <si>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</si>
  <si>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</si>
  <si>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</si>
  <si>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</si>
  <si>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</si>
  <si>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</si>
  <si>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</si>
  <si>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</si>
  <si>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</si>
  <si>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</si>
  <si>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</si>
  <si>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</si>
  <si>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</si>
  <si>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</si>
  <si>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</si>
  <si>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</si>
  <si>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</si>
  <si>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</si>
  <si>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</si>
  <si>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</si>
  <si>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</si>
  <si>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</si>
  <si>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</si>
  <si>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</si>
  <si>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</si>
  <si>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</si>
  <si>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</si>
  <si>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</si>
  <si>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</si>
  <si>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</si>
  <si>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</si>
  <si>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</si>
  <si>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</si>
  <si>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</si>
  <si>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</si>
  <si>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</si>
  <si>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</si>
  <si>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</si>
  <si>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</si>
  <si>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</si>
  <si>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</si>
  <si>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</si>
  <si>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</si>
  <si>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</si>
  <si>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</si>
  <si>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</si>
  <si>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</si>
  <si>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</si>
  <si>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</si>
  <si>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</si>
  <si>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</si>
  <si>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</si>
  <si>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</si>
  <si>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</si>
  <si>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</si>
  <si>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</si>
  <si>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</si>
  <si>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</si>
  <si>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</si>
  <si>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</si>
  <si>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</si>
  <si>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</si>
  <si>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</si>
  <si>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</si>
  <si>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</si>
  <si>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</si>
  <si>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</si>
  <si>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</si>
  <si>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</si>
  <si>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</si>
  <si>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</si>
  <si>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</si>
  <si>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</si>
  <si>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</si>
  <si>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</si>
  <si>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</si>
  <si>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</si>
  <si>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</si>
  <si>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</si>
  <si>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</si>
  <si>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</si>
  <si>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</si>
  <si>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</si>
  <si>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</si>
  <si>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</si>
  <si>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</si>
  <si>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</si>
  <si>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</si>
  <si>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</si>
  <si>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</si>
  <si>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</si>
  <si>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</si>
  <si>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</si>
  <si>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</si>
  <si>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</si>
  <si>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</si>
  <si>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</si>
  <si>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</si>
  <si>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</si>
  <si>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</si>
  <si>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</si>
  <si>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</si>
  <si>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</si>
  <si>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</si>
  <si>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</si>
  <si>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</si>
  <si>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</si>
  <si>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</si>
  <si>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</si>
  <si>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</si>
  <si>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</si>
  <si>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</si>
  <si>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</si>
  <si>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</si>
  <si>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</si>
  <si>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</si>
  <si>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</si>
  <si>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</si>
  <si>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</si>
  <si>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</si>
  <si>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</si>
  <si>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</si>
  <si>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</si>
  <si>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</si>
  <si>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</si>
  <si>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</si>
  <si>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</si>
  <si>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</si>
  <si>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</si>
  <si>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</si>
  <si>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</si>
  <si>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</si>
  <si>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</si>
  <si>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</si>
  <si>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</si>
  <si>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</si>
  <si>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</si>
  <si>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</si>
  <si>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</si>
  <si>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</si>
  <si>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</si>
  <si>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</si>
  <si>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</si>
  <si>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</si>
  <si>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</si>
  <si>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</si>
  <si>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</si>
  <si>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</si>
  <si>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</si>
  <si>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</si>
  <si>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</si>
  <si>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</si>
  <si>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</si>
  <si>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</si>
  <si>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</si>
  <si>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</si>
  <si>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</si>
  <si>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</si>
  <si>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</si>
  <si>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</si>
  <si>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</si>
  <si>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</si>
  <si>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</si>
  <si>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</si>
  <si>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</si>
  <si>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</si>
  <si>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</si>
  <si>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</si>
  <si>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</si>
  <si>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</si>
  <si>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</si>
  <si>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</si>
  <si>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</si>
  <si>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</si>
  <si>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</si>
  <si>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</si>
  <si>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</si>
  <si>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</si>
  <si>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</si>
  <si>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</si>
  <si>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</si>
  <si>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</si>
  <si>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</si>
  <si>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</si>
  <si>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</si>
  <si>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</si>
  <si>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</si>
  <si>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</si>
  <si>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</si>
  <si>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</si>
  <si>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</si>
  <si>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</si>
  <si>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</si>
  <si>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</si>
  <si>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</si>
  <si>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</si>
  <si>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</si>
  <si>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</si>
  <si>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</si>
  <si>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</si>
  <si>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</si>
  <si>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</si>
  <si>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</si>
  <si>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</si>
  <si>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</si>
  <si>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</si>
  <si>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</si>
  <si>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</si>
  <si>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</si>
  <si>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</si>
  <si>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</si>
  <si>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</si>
  <si>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</si>
  <si>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</si>
  <si>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</si>
  <si>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</si>
  <si>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</si>
  <si>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</si>
  <si>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</si>
  <si>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</si>
  <si>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</si>
  <si>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</si>
  <si>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</si>
  <si>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</si>
  <si>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</si>
  <si>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</si>
  <si>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</si>
  <si>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</si>
  <si>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</si>
  <si>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</si>
  <si>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</si>
  <si>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</si>
  <si>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</si>
  <si>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</si>
  <si>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</si>
  <si>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</si>
  <si>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</si>
  <si>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</si>
  <si>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</si>
  <si>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</si>
  <si>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</si>
  <si>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</si>
  <si>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</si>
  <si>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</si>
  <si>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</si>
  <si>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</si>
  <si>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</si>
  <si>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</si>
  <si>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</si>
  <si>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</si>
  <si>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</si>
  <si>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</si>
  <si>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</si>
  <si>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</si>
  <si>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</si>
  <si>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</si>
  <si>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</si>
  <si>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</si>
  <si>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</si>
  <si>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</si>
  <si>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</si>
  <si>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</si>
  <si>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</si>
  <si>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</si>
  <si>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</si>
  <si>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</si>
  <si>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</si>
  <si>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</si>
  <si>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</si>
  <si>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</si>
  <si>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</si>
  <si>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</si>
  <si>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</si>
  <si>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</si>
  <si>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</si>
  <si>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</si>
  <si>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</si>
  <si>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</si>
  <si>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</si>
  <si>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</si>
  <si>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</si>
  <si>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</si>
  <si>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</si>
  <si>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</si>
  <si>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</si>
  <si>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</si>
  <si>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</si>
  <si>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</si>
  <si>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</si>
  <si>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</si>
  <si>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</si>
  <si>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</si>
  <si>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</si>
  <si>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</si>
  <si>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</si>
  <si>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</si>
  <si>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</si>
  <si>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</si>
  <si>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</si>
  <si>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</si>
  <si>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</si>
  <si>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</si>
  <si>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</si>
  <si>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</si>
  <si>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</si>
  <si>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</si>
  <si>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</si>
  <si>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</si>
  <si>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</si>
  <si>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</si>
  <si>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</si>
  <si>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</si>
  <si>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</si>
  <si>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</si>
  <si>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</si>
  <si>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</si>
  <si>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</si>
  <si>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</si>
  <si>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</si>
  <si>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</si>
  <si>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</si>
  <si>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</si>
  <si>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</si>
  <si>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</si>
  <si>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</si>
  <si>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</si>
  <si>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</si>
  <si>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</si>
  <si>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</si>
  <si>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</si>
  <si>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</si>
  <si>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</si>
  <si>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</si>
  <si>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</si>
  <si>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</si>
  <si>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</si>
  <si>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</si>
  <si>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</si>
  <si>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</si>
  <si>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</si>
  <si>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</si>
  <si>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</si>
  <si>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</si>
  <si>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</si>
  <si>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</si>
  <si>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</si>
  <si>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</si>
  <si>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</si>
  <si>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</si>
  <si>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</si>
  <si>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</si>
  <si>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</si>
  <si>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</si>
  <si>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</si>
  <si>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</si>
  <si>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</si>
  <si>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</si>
  <si>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</si>
  <si>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</si>
  <si>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</si>
  <si>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</si>
  <si>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</si>
  <si>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</si>
  <si>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</si>
  <si>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</si>
  <si>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</si>
  <si>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</si>
  <si>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</si>
  <si>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</si>
  <si>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</si>
  <si>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</si>
  <si>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</si>
  <si>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</si>
  <si>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</si>
  <si>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</si>
  <si>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</si>
  <si>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</si>
  <si>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</si>
  <si>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</si>
  <si>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</si>
  <si>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</si>
  <si>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</si>
  <si>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</si>
  <si>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</si>
  <si>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</si>
  <si>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</si>
  <si>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</si>
  <si>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</si>
  <si>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</si>
  <si>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</si>
  <si>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</si>
  <si>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</si>
  <si>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</si>
  <si>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</si>
  <si>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</si>
  <si>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</si>
  <si>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</si>
  <si>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</si>
  <si>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</si>
  <si>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</si>
  <si>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</si>
  <si>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</si>
  <si>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</si>
  <si>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</si>
  <si>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</si>
  <si>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</si>
  <si>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</si>
  <si>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</si>
  <si>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</si>
  <si>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</si>
  <si>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</si>
  <si>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</si>
  <si>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</si>
  <si>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</si>
  <si>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</si>
  <si>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</si>
  <si>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</si>
  <si>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</si>
  <si>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</si>
  <si>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</si>
  <si>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</si>
  <si>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</si>
  <si>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</si>
  <si>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</si>
  <si>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</si>
  <si>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</si>
  <si>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</si>
  <si>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</si>
  <si>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</si>
  <si>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</si>
  <si>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</si>
  <si>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</si>
  <si>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</si>
  <si>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</si>
  <si>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</si>
  <si>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</si>
  <si>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</si>
  <si>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</si>
  <si>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</si>
  <si>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</si>
  <si>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</si>
  <si>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</si>
  <si>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</si>
  <si>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</si>
  <si>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</si>
  <si>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</si>
  <si>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</si>
  <si>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</si>
  <si>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</si>
  <si>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</si>
  <si>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</si>
  <si>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</si>
  <si>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</si>
  <si>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</si>
  <si>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</si>
  <si>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</si>
  <si>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</si>
  <si>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</si>
  <si>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</si>
  <si>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</si>
  <si>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</si>
  <si>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</si>
  <si>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</si>
  <si>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</si>
  <si>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</si>
  <si>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</si>
  <si>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</si>
  <si>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</si>
  <si>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</si>
  <si>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</si>
  <si>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</si>
  <si>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</si>
  <si>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</si>
  <si>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</si>
  <si>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</si>
  <si>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</si>
  <si>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</si>
  <si>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</si>
  <si>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</si>
  <si>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</si>
  <si>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</si>
  <si>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</si>
  <si>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</si>
  <si>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</si>
  <si>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</si>
  <si>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</si>
  <si>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</si>
  <si>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</si>
  <si>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</si>
  <si>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</si>
  <si>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</si>
  <si>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</si>
  <si>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</si>
  <si>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</si>
  <si>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</si>
  <si>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</si>
  <si>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</si>
  <si>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</si>
  <si>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</si>
  <si>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</si>
  <si>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</si>
  <si>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</si>
  <si>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</si>
  <si>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</si>
  <si>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</si>
  <si>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</si>
  <si>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</si>
  <si>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</si>
  <si>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</si>
  <si>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</si>
  <si>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</si>
  <si>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</si>
  <si>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</si>
  <si>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</si>
  <si>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</si>
  <si>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</si>
  <si>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</si>
  <si>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</si>
  <si>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</si>
  <si>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</si>
  <si>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</si>
  <si>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</si>
  <si>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</si>
  <si>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</si>
  <si>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</si>
  <si>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</si>
  <si>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</si>
  <si>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</si>
  <si>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</si>
  <si>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</si>
  <si>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</si>
  <si>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</si>
  <si>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</si>
  <si>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</si>
  <si>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</si>
  <si>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</si>
  <si>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</si>
  <si>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</si>
  <si>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</si>
  <si>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</si>
  <si>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</si>
  <si>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</si>
  <si>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</si>
  <si>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</si>
  <si>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</si>
  <si>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</si>
  <si>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</si>
  <si>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</si>
  <si>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</si>
  <si>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</si>
  <si>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</si>
  <si>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</si>
  <si>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</si>
  <si>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</si>
  <si>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</si>
  <si>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</si>
  <si>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</si>
  <si>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</si>
  <si>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</si>
  <si>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</si>
  <si>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</si>
  <si>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</si>
  <si>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</si>
  <si>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</si>
  <si>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</si>
  <si>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</si>
  <si>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</si>
  <si>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</si>
  <si>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</si>
  <si>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</si>
  <si>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</si>
  <si>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</si>
  <si>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</si>
  <si>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</si>
  <si>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</si>
  <si>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</si>
  <si>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</si>
  <si>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</si>
  <si>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</si>
  <si>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</si>
  <si>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</si>
  <si>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</si>
  <si>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</si>
  <si>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</si>
  <si>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</si>
  <si>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</si>
  <si>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</si>
  <si>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</si>
  <si>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</si>
  <si>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</si>
  <si>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</si>
  <si>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</si>
  <si>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</si>
  <si>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</si>
  <si>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</si>
  <si>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</si>
  <si>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</si>
  <si>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</si>
  <si>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</si>
  <si>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</si>
  <si>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</si>
  <si>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</si>
  <si>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</si>
  <si>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</si>
  <si>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</si>
  <si>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</si>
  <si>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</si>
  <si>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</si>
  <si>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</si>
  <si>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</si>
  <si>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</si>
  <si>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</si>
  <si>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</si>
  <si>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</si>
  <si>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</si>
  <si>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</si>
  <si>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</si>
  <si>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</si>
  <si>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</si>
  <si>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</si>
  <si>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</si>
  <si>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</si>
  <si>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</si>
  <si>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</si>
  <si>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</si>
  <si>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</si>
  <si>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</si>
  <si>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</si>
  <si>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</si>
  <si>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</si>
  <si>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</si>
  <si>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</si>
  <si>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</si>
  <si>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</si>
  <si>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</si>
  <si>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</si>
  <si>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</si>
  <si>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</si>
  <si>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</si>
  <si>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</si>
  <si>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</si>
  <si>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</si>
  <si>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</si>
  <si>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</si>
  <si>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</si>
  <si>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</si>
  <si>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</si>
  <si>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</si>
  <si>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</si>
  <si>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</si>
  <si>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</si>
  <si>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</si>
  <si>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</si>
  <si>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</si>
  <si>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</si>
  <si>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</si>
  <si>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</si>
  <si>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</si>
  <si>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</si>
  <si>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</si>
  <si>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</si>
  <si>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</si>
  <si>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</si>
  <si>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</si>
  <si>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</si>
  <si>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</si>
  <si>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</si>
  <si>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</si>
  <si>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</si>
  <si>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</si>
  <si>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</si>
  <si>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</si>
  <si>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</si>
  <si>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</si>
  <si>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</si>
  <si>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</si>
  <si>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</si>
  <si>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</si>
  <si>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</si>
  <si>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</si>
  <si>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</si>
  <si>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</si>
  <si>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</si>
  <si>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</si>
  <si>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</si>
  <si>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</si>
  <si>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</si>
  <si>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</si>
  <si>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</si>
  <si>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</si>
  <si>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</si>
  <si>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</si>
  <si>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</si>
  <si>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</si>
  <si>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</si>
  <si>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</si>
  <si>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</si>
  <si>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</si>
  <si>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</si>
  <si>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</si>
  <si>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</si>
  <si>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</si>
  <si>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</si>
  <si>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</si>
  <si>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</si>
  <si>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</si>
  <si>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</si>
  <si>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</si>
  <si>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</si>
  <si>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</si>
  <si>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</si>
  <si>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</si>
  <si>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</si>
  <si>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</si>
  <si>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</si>
  <si>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</si>
  <si>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</si>
  <si>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</si>
  <si>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</si>
  <si>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</si>
  <si>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</si>
  <si>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</si>
  <si>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</si>
  <si>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</si>
  <si>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</si>
  <si>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</si>
  <si>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</si>
  <si>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</si>
  <si>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</si>
  <si>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</si>
  <si>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</si>
  <si>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</si>
  <si>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</si>
  <si>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</si>
  <si>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</si>
  <si>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</si>
  <si>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</si>
  <si>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</si>
  <si>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</si>
  <si>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</si>
  <si>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</si>
  <si>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</si>
  <si>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</si>
  <si>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</si>
  <si>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</si>
  <si>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</si>
  <si>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</si>
  <si>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</si>
  <si>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</si>
  <si>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</si>
  <si>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</si>
  <si>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</si>
  <si>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</si>
  <si>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</si>
  <si>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</si>
  <si>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</si>
  <si>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</si>
  <si>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</si>
  <si>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</si>
  <si>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</si>
  <si>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</si>
  <si>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</si>
  <si>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</si>
  <si>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</si>
  <si>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</si>
  <si>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</si>
  <si>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</si>
  <si>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</si>
  <si>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</si>
  <si>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</si>
  <si>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</si>
  <si>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</si>
  <si>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</si>
  <si>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</si>
  <si>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</si>
  <si>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</si>
  <si>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</si>
  <si>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</si>
  <si>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</si>
  <si>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</si>
  <si>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</si>
  <si>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</si>
  <si>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</si>
  <si>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</si>
  <si>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</si>
  <si>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</si>
  <si>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</si>
  <si>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</si>
  <si>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</si>
  <si>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</si>
  <si>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</si>
  <si>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</si>
  <si>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</si>
  <si>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</si>
  <si>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</si>
  <si>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</si>
  <si>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</si>
  <si>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</si>
  <si>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</si>
  <si>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</si>
  <si>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</si>
  <si>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</si>
  <si>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</si>
  <si>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</si>
  <si>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</si>
  <si>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</si>
  <si>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</si>
  <si>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</si>
  <si>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</si>
  <si>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</si>
  <si>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</si>
  <si>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</si>
  <si>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</si>
  <si>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</si>
  <si>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</si>
  <si>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</si>
  <si>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</si>
  <si>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</si>
  <si>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</si>
  <si>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</si>
  <si>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</si>
  <si>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</si>
  <si>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</si>
  <si>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</si>
  <si>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</si>
  <si>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</si>
  <si>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</si>
  <si>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</si>
  <si>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</si>
  <si>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</si>
  <si>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</si>
  <si>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</si>
  <si>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</si>
  <si>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</si>
  <si>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</si>
  <si>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</si>
  <si>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</si>
  <si>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</si>
  <si>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</si>
  <si>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</si>
  <si>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</si>
  <si>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</si>
  <si>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</si>
  <si>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</si>
  <si>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</si>
  <si>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</si>
  <si>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</si>
  <si>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</si>
  <si>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</si>
  <si>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</si>
  <si>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</si>
  <si>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</si>
  <si>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</si>
  <si>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</si>
  <si>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</si>
  <si>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</si>
  <si>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</si>
  <si>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</si>
  <si>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</si>
  <si>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</si>
  <si>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</si>
  <si>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</si>
  <si>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</si>
  <si>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</si>
  <si>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</si>
  <si>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</si>
  <si>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</si>
  <si>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</si>
  <si>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</si>
  <si>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</si>
  <si>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</si>
  <si>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</si>
  <si>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</si>
  <si>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</si>
  <si>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</si>
  <si>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</si>
  <si>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</si>
  <si>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</si>
  <si>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</si>
  <si>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</si>
  <si>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</si>
  <si>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</si>
  <si>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</si>
  <si>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</si>
  <si>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</si>
  <si>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</si>
  <si>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</si>
  <si>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</si>
  <si>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</si>
  <si>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</si>
  <si>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</si>
  <si>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</si>
  <si>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</si>
  <si>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</si>
  <si>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</si>
  <si>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</si>
  <si>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</si>
  <si>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</si>
  <si>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</si>
  <si>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</si>
  <si>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</si>
  <si>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</si>
  <si>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</si>
  <si>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现房</t>
  </si>
  <si>
    <t>是</t>
  </si>
  <si>
    <t>地上</t>
  </si>
  <si>
    <t>配套公建</t>
  </si>
  <si>
    <t>配套公建</t>
    <phoneticPr fontId="7" type="noConversion"/>
  </si>
  <si>
    <t>清河街道</t>
    <phoneticPr fontId="3" type="noConversion"/>
  </si>
  <si>
    <t>成新度</t>
  </si>
  <si>
    <t>竣工时间</t>
    <phoneticPr fontId="3" type="noConversion"/>
  </si>
  <si>
    <t>收益法 (元)</t>
  </si>
  <si>
    <t>押一</t>
  </si>
  <si>
    <t>钢混</t>
  </si>
  <si>
    <t>非生产用房</t>
  </si>
  <si>
    <t>否</t>
  </si>
  <si>
    <t>推算土地</t>
    <phoneticPr fontId="3" type="noConversion"/>
  </si>
  <si>
    <t>单套模式</t>
  </si>
  <si>
    <t>售价</t>
  </si>
  <si>
    <t>正常</t>
  </si>
  <si>
    <t>挂牌价</t>
  </si>
  <si>
    <t>挂牌价</t>
    <phoneticPr fontId="30" type="noConversion"/>
  </si>
  <si>
    <t>多面临街</t>
  </si>
  <si>
    <t>双面临街</t>
  </si>
  <si>
    <t>单面临街</t>
  </si>
  <si>
    <t>临街坊路</t>
  </si>
  <si>
    <t>好</t>
  </si>
  <si>
    <t>较好</t>
  </si>
  <si>
    <t>一般</t>
  </si>
  <si>
    <t>大</t>
  </si>
  <si>
    <t>较大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</si>
  <si>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</si>
  <si>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</si>
  <si>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t>钢混</t>
    <phoneticPr fontId="30" type="noConversion"/>
  </si>
  <si>
    <t>可餐饮</t>
  </si>
  <si>
    <t>超高</t>
    <phoneticPr fontId="30" type="noConversion"/>
  </si>
  <si>
    <t>标准</t>
    <phoneticPr fontId="30" type="noConversion"/>
  </si>
  <si>
    <t>1层</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</si>
  <si>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</si>
  <si>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</si>
  <si>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</si>
  <si>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1-2层</t>
  </si>
  <si>
    <t>橡树湾一期</t>
    <phoneticPr fontId="3" type="noConversion"/>
  </si>
  <si>
    <t>橡树湾二期</t>
    <phoneticPr fontId="30" type="noConversion"/>
  </si>
  <si>
    <r>
      <t>1</t>
    </r>
    <r>
      <rPr>
        <sz val="11"/>
        <rFont val="宋体"/>
        <family val="3"/>
        <charset val="134"/>
      </rPr>
      <t>层租金</t>
    </r>
    <phoneticPr fontId="30" type="noConversion"/>
  </si>
  <si>
    <t>金隅美和园</t>
    <phoneticPr fontId="3" type="noConversion"/>
  </si>
  <si>
    <r>
      <rPr>
        <sz val="11"/>
        <rFont val="宋体"/>
        <family val="3"/>
        <charset val="134"/>
      </rPr>
      <t>网上查询</t>
    </r>
    <r>
      <rPr>
        <sz val="11"/>
        <rFont val="Arial"/>
        <family val="2"/>
      </rPr>
      <t>2008</t>
    </r>
    <phoneticPr fontId="30" type="noConversion"/>
  </si>
  <si>
    <t>商业</t>
    <phoneticPr fontId="30" type="noConversion"/>
  </si>
  <si>
    <t>不可餐饮</t>
  </si>
  <si>
    <t>不可餐饮</t>
    <phoneticPr fontId="30" type="noConversion"/>
  </si>
  <si>
    <t>较好</t>
    <phoneticPr fontId="30" type="noConversion"/>
  </si>
  <si>
    <t>比较法-商业</t>
  </si>
  <si>
    <t>在估价对象旁边</t>
    <phoneticPr fontId="134" type="noConversion"/>
  </si>
  <si>
    <t>楼面单价</t>
  </si>
  <si>
    <t>自定义</t>
  </si>
  <si>
    <r>
      <t>1-2</t>
    </r>
    <r>
      <rPr>
        <sz val="11"/>
        <rFont val="宋体"/>
        <family val="3"/>
        <charset val="134"/>
      </rPr>
      <t>层（</t>
    </r>
    <r>
      <rPr>
        <sz val="11"/>
        <rFont val="Arial"/>
        <family val="2"/>
      </rPr>
      <t>1</t>
    </r>
    <r>
      <rPr>
        <sz val="11"/>
        <rFont val="宋体"/>
        <family val="3"/>
        <charset val="134"/>
      </rPr>
      <t>层面积小，</t>
    </r>
    <r>
      <rPr>
        <sz val="11"/>
        <rFont val="Arial"/>
        <family val="2"/>
      </rPr>
      <t>2</t>
    </r>
    <r>
      <rPr>
        <sz val="11"/>
        <rFont val="宋体"/>
        <family val="3"/>
        <charset val="134"/>
      </rPr>
      <t>层大）</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</si>
  <si>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</si>
  <si>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</si>
  <si>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t>面积</t>
    <phoneticPr fontId="30" type="noConversion"/>
  </si>
  <si>
    <t>假设</t>
    <phoneticPr fontId="30" type="noConversion"/>
  </si>
  <si>
    <t>合计</t>
    <phoneticPr fontId="30" type="noConversion"/>
  </si>
  <si>
    <t>占比</t>
    <phoneticPr fontId="30" type="noConversion"/>
  </si>
  <si>
    <t>七通</t>
  </si>
  <si>
    <t>标准</t>
  </si>
  <si>
    <t>精装修</t>
  </si>
  <si>
    <t>精装修</t>
    <phoneticPr fontId="30" type="noConversion"/>
  </si>
  <si>
    <t>普通装修</t>
  </si>
  <si>
    <t>普通装修</t>
    <phoneticPr fontId="30" type="noConversion"/>
  </si>
  <si>
    <t>简单装修</t>
    <phoneticPr fontId="30" type="noConversion"/>
  </si>
  <si>
    <t>毛坯</t>
    <phoneticPr fontId="30" type="noConversion"/>
  </si>
  <si>
    <r>
      <t>1</t>
    </r>
    <r>
      <rPr>
        <sz val="11"/>
        <rFont val="宋体"/>
        <family val="3"/>
        <charset val="134"/>
      </rPr>
      <t>层面积较小，已修正</t>
    </r>
    <phoneticPr fontId="30" type="noConversion"/>
  </si>
  <si>
    <t>修正后价格</t>
    <phoneticPr fontId="30" type="noConversion"/>
  </si>
  <si>
    <r>
      <rPr>
        <sz val="10"/>
        <color theme="9" tint="-0.249977111117893"/>
        <rFont val="宋体"/>
        <family val="3"/>
        <charset val="134"/>
      </rPr>
      <t>海淀区学府树家园</t>
    </r>
    <r>
      <rPr>
        <sz val="10"/>
        <color theme="9" tint="-0.249977111117893"/>
        <rFont val="Arial"/>
        <family val="2"/>
      </rPr>
      <t>7</t>
    </r>
    <r>
      <rPr>
        <sz val="10"/>
        <color theme="9" tint="-0.249977111117893"/>
        <rFont val="宋体"/>
        <family val="3"/>
        <charset val="134"/>
      </rPr>
      <t>号楼</t>
    </r>
    <r>
      <rPr>
        <sz val="10"/>
        <color theme="9" tint="-0.249977111117893"/>
        <rFont val="Arial"/>
        <family val="2"/>
      </rPr>
      <t>7-1</t>
    </r>
    <r>
      <rPr>
        <sz val="10"/>
        <color theme="9" tint="-0.249977111117893"/>
        <rFont val="宋体"/>
        <family val="3"/>
        <charset val="134"/>
      </rPr>
      <t>号</t>
    </r>
    <r>
      <rPr>
        <sz val="10"/>
        <color theme="9" tint="-0.249977111117893"/>
        <rFont val="Arial"/>
        <family val="2"/>
      </rPr>
      <t>~7-5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7-3</t>
    </r>
    <phoneticPr fontId="6" type="noConversion"/>
  </si>
  <si>
    <t>北京沧海华建供应链管理有限公司</t>
    <phoneticPr fontId="6" type="noConversion"/>
  </si>
  <si>
    <t>1层</t>
    <phoneticPr fontId="134" type="noConversion"/>
  </si>
  <si>
    <t>系数</t>
    <phoneticPr fontId="30" type="noConversion"/>
  </si>
  <si>
    <t>修正系数</t>
    <phoneticPr fontId="30" type="noConversion"/>
  </si>
  <si>
    <t>项目模式</t>
  </si>
  <si>
    <t>租金</t>
  </si>
  <si>
    <t>清河中街</t>
    <phoneticPr fontId="134" type="noConversion"/>
  </si>
  <si>
    <t>橡树湾五期</t>
    <phoneticPr fontId="3" type="noConversion"/>
  </si>
  <si>
    <t>橡树湾一期临街商业，纯一层，日租金7块多</t>
    <phoneticPr fontId="134" type="noConversion"/>
  </si>
  <si>
    <t>临街商铺</t>
  </si>
  <si>
    <t>临街商铺</t>
    <phoneticPr fontId="134" type="noConversion"/>
  </si>
  <si>
    <r>
      <t>1</t>
    </r>
    <r>
      <rPr>
        <sz val="11"/>
        <color theme="1"/>
        <rFont val="宋体"/>
        <family val="3"/>
        <charset val="134"/>
        <scheme val="minor"/>
      </rPr>
      <t>-2层</t>
    </r>
    <phoneticPr fontId="134"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</si>
  <si>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</si>
  <si>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</si>
  <si>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</si>
  <si>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</si>
  <si>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</si>
  <si>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</si>
  <si>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</si>
  <si>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</si>
  <si>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15-20</t>
    </r>
    <r>
      <rPr>
        <sz val="11"/>
        <color indexed="8"/>
        <rFont val="宋体"/>
        <family val="3"/>
        <charset val="134"/>
      </rPr>
      <t>（含）</t>
    </r>
    <phoneticPr fontId="30" type="noConversion"/>
  </si>
  <si>
    <r>
      <t>20-25</t>
    </r>
    <r>
      <rPr>
        <sz val="11"/>
        <color indexed="8"/>
        <rFont val="宋体"/>
        <family val="3"/>
        <charset val="134"/>
      </rPr>
      <t>（含）</t>
    </r>
    <phoneticPr fontId="30" type="noConversion"/>
  </si>
  <si>
    <t>配套商业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</si>
</sst>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7" fontId="51" fillId="12" borderId="0" xfId="0" applyNumberFormat="1" applyFont="1" applyFill="1" applyAlignment="1" applyProtection="1">
      <alignment horizontal="center" vertical="center"/>
      <protection locked="0"/>
    </xf>
    <xf numFmtId="49" fontId="275"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25400</xdr:rowOff>
    </xdr:from>
    <xdr:to>
      <xdr:col>14</xdr:col>
      <xdr:colOff>137753</xdr:colOff>
      <xdr:row>46</xdr:row>
      <xdr:rowOff>163786</xdr:rowOff>
    </xdr:to>
    <xdr:pic>
      <xdr:nvPicPr>
        <xdr:cNvPr id="3" name="图片 2">
          <a:extLst>
            <a:ext uri="{FF2B5EF4-FFF2-40B4-BE49-F238E27FC236}">
              <a16:creationId xmlns:a16="http://schemas.microsoft.com/office/drawing/2014/main" id="{DC54EEEF-880D-45E8-AEBA-63145891450C}"/>
            </a:ext>
          </a:extLst>
        </xdr:cNvPr>
        <xdr:cNvPicPr>
          <a:picLocks noChangeAspect="1"/>
        </xdr:cNvPicPr>
      </xdr:nvPicPr>
      <xdr:blipFill>
        <a:blip xmlns:r="http://schemas.openxmlformats.org/officeDocument/2006/relationships" r:embed="rId1"/>
        <a:stretch>
          <a:fillRect/>
        </a:stretch>
      </xdr:blipFill>
      <xdr:spPr>
        <a:xfrm>
          <a:off x="0" y="6426200"/>
          <a:ext cx="8672153" cy="7783786"/>
        </a:xfrm>
        <a:prstGeom prst="rect">
          <a:avLst/>
        </a:prstGeom>
      </xdr:spPr>
    </xdr:pic>
    <xdr:clientData/>
  </xdr:twoCellAnchor>
  <xdr:twoCellAnchor editAs="oneCell">
    <xdr:from>
      <xdr:col>0</xdr:col>
      <xdr:colOff>0</xdr:colOff>
      <xdr:row>47</xdr:row>
      <xdr:rowOff>44450</xdr:rowOff>
    </xdr:from>
    <xdr:to>
      <xdr:col>14</xdr:col>
      <xdr:colOff>327864</xdr:colOff>
      <xdr:row>90</xdr:row>
      <xdr:rowOff>36786</xdr:rowOff>
    </xdr:to>
    <xdr:pic>
      <xdr:nvPicPr>
        <xdr:cNvPr id="4" name="图片 3">
          <a:extLst>
            <a:ext uri="{FF2B5EF4-FFF2-40B4-BE49-F238E27FC236}">
              <a16:creationId xmlns:a16="http://schemas.microsoft.com/office/drawing/2014/main" id="{B0F422C0-B481-4968-B4B1-BB2E94347C1D}"/>
            </a:ext>
          </a:extLst>
        </xdr:cNvPr>
        <xdr:cNvPicPr>
          <a:picLocks noChangeAspect="1"/>
        </xdr:cNvPicPr>
      </xdr:nvPicPr>
      <xdr:blipFill>
        <a:blip xmlns:r="http://schemas.openxmlformats.org/officeDocument/2006/relationships" r:embed="rId2"/>
        <a:stretch>
          <a:fillRect/>
        </a:stretch>
      </xdr:blipFill>
      <xdr:spPr>
        <a:xfrm>
          <a:off x="0" y="14268450"/>
          <a:ext cx="8862264" cy="7637736"/>
        </a:xfrm>
        <a:prstGeom prst="rect">
          <a:avLst/>
        </a:prstGeom>
      </xdr:spPr>
    </xdr:pic>
    <xdr:clientData/>
  </xdr:twoCellAnchor>
  <xdr:twoCellAnchor editAs="oneCell">
    <xdr:from>
      <xdr:col>0</xdr:col>
      <xdr:colOff>0</xdr:colOff>
      <xdr:row>89</xdr:row>
      <xdr:rowOff>158750</xdr:rowOff>
    </xdr:from>
    <xdr:to>
      <xdr:col>15</xdr:col>
      <xdr:colOff>260883</xdr:colOff>
      <xdr:row>127</xdr:row>
      <xdr:rowOff>170350</xdr:rowOff>
    </xdr:to>
    <xdr:pic>
      <xdr:nvPicPr>
        <xdr:cNvPr id="5" name="图片 4">
          <a:extLst>
            <a:ext uri="{FF2B5EF4-FFF2-40B4-BE49-F238E27FC236}">
              <a16:creationId xmlns:a16="http://schemas.microsoft.com/office/drawing/2014/main" id="{A19D32B4-CE85-4BCF-A849-620A08B8150B}"/>
            </a:ext>
          </a:extLst>
        </xdr:cNvPr>
        <xdr:cNvPicPr>
          <a:picLocks noChangeAspect="1"/>
        </xdr:cNvPicPr>
      </xdr:nvPicPr>
      <xdr:blipFill>
        <a:blip xmlns:r="http://schemas.openxmlformats.org/officeDocument/2006/relationships" r:embed="rId3"/>
        <a:stretch>
          <a:fillRect/>
        </a:stretch>
      </xdr:blipFill>
      <xdr:spPr>
        <a:xfrm>
          <a:off x="0" y="21850350"/>
          <a:ext cx="9404883" cy="6768000"/>
        </a:xfrm>
        <a:prstGeom prst="rect">
          <a:avLst/>
        </a:prstGeom>
      </xdr:spPr>
    </xdr:pic>
    <xdr:clientData/>
  </xdr:twoCellAnchor>
  <xdr:twoCellAnchor editAs="oneCell">
    <xdr:from>
      <xdr:col>17</xdr:col>
      <xdr:colOff>474859</xdr:colOff>
      <xdr:row>9</xdr:row>
      <xdr:rowOff>50800</xdr:rowOff>
    </xdr:from>
    <xdr:to>
      <xdr:col>28</xdr:col>
      <xdr:colOff>58170</xdr:colOff>
      <xdr:row>31</xdr:row>
      <xdr:rowOff>78026</xdr:rowOff>
    </xdr:to>
    <xdr:pic>
      <xdr:nvPicPr>
        <xdr:cNvPr id="2" name="图片 1">
          <a:extLst>
            <a:ext uri="{FF2B5EF4-FFF2-40B4-BE49-F238E27FC236}">
              <a16:creationId xmlns:a16="http://schemas.microsoft.com/office/drawing/2014/main" id="{B692BAA7-A488-7F0B-40ED-4CED8E1CFE6C}"/>
            </a:ext>
          </a:extLst>
        </xdr:cNvPr>
        <xdr:cNvPicPr>
          <a:picLocks noChangeAspect="1"/>
        </xdr:cNvPicPr>
      </xdr:nvPicPr>
      <xdr:blipFill>
        <a:blip xmlns:r="http://schemas.openxmlformats.org/officeDocument/2006/relationships" r:embed="rId4"/>
        <a:stretch>
          <a:fillRect/>
        </a:stretch>
      </xdr:blipFill>
      <xdr:spPr>
        <a:xfrm>
          <a:off x="10838059" y="1651000"/>
          <a:ext cx="6288911" cy="3938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240083</xdr:colOff>
      <xdr:row>36</xdr:row>
      <xdr:rowOff>65478</xdr:rowOff>
    </xdr:to>
    <xdr:pic>
      <xdr:nvPicPr>
        <xdr:cNvPr id="2" name="图片 1">
          <a:extLst>
            <a:ext uri="{FF2B5EF4-FFF2-40B4-BE49-F238E27FC236}">
              <a16:creationId xmlns:a16="http://schemas.microsoft.com/office/drawing/2014/main" id="{3CFC2D2F-1F50-DA03-88CD-C7452CD7AC8C}"/>
            </a:ext>
          </a:extLst>
        </xdr:cNvPr>
        <xdr:cNvPicPr>
          <a:picLocks noChangeAspect="1"/>
        </xdr:cNvPicPr>
      </xdr:nvPicPr>
      <xdr:blipFill>
        <a:blip xmlns:r="http://schemas.openxmlformats.org/officeDocument/2006/relationships" r:embed="rId1"/>
        <a:stretch>
          <a:fillRect/>
        </a:stretch>
      </xdr:blipFill>
      <xdr:spPr>
        <a:xfrm>
          <a:off x="0" y="0"/>
          <a:ext cx="8164883" cy="6466278"/>
        </a:xfrm>
        <a:prstGeom prst="rect">
          <a:avLst/>
        </a:prstGeom>
      </xdr:spPr>
    </xdr:pic>
    <xdr:clientData/>
  </xdr:twoCellAnchor>
  <xdr:twoCellAnchor editAs="oneCell">
    <xdr:from>
      <xdr:col>0</xdr:col>
      <xdr:colOff>0</xdr:colOff>
      <xdr:row>38</xdr:row>
      <xdr:rowOff>0</xdr:rowOff>
    </xdr:from>
    <xdr:to>
      <xdr:col>12</xdr:col>
      <xdr:colOff>25400</xdr:colOff>
      <xdr:row>73</xdr:row>
      <xdr:rowOff>14787</xdr:rowOff>
    </xdr:to>
    <xdr:pic>
      <xdr:nvPicPr>
        <xdr:cNvPr id="3" name="图片 2">
          <a:extLst>
            <a:ext uri="{FF2B5EF4-FFF2-40B4-BE49-F238E27FC236}">
              <a16:creationId xmlns:a16="http://schemas.microsoft.com/office/drawing/2014/main" id="{E4EFFFE2-E60A-4535-A07F-216187916BF1}"/>
            </a:ext>
          </a:extLst>
        </xdr:cNvPr>
        <xdr:cNvPicPr>
          <a:picLocks noChangeAspect="1"/>
        </xdr:cNvPicPr>
      </xdr:nvPicPr>
      <xdr:blipFill>
        <a:blip xmlns:r="http://schemas.openxmlformats.org/officeDocument/2006/relationships" r:embed="rId2"/>
        <a:stretch>
          <a:fillRect/>
        </a:stretch>
      </xdr:blipFill>
      <xdr:spPr>
        <a:xfrm>
          <a:off x="0" y="6756400"/>
          <a:ext cx="7340600" cy="6237787"/>
        </a:xfrm>
        <a:prstGeom prst="rect">
          <a:avLst/>
        </a:prstGeom>
      </xdr:spPr>
    </xdr:pic>
    <xdr:clientData/>
  </xdr:twoCellAnchor>
  <xdr:twoCellAnchor editAs="oneCell">
    <xdr:from>
      <xdr:col>0</xdr:col>
      <xdr:colOff>0</xdr:colOff>
      <xdr:row>74</xdr:row>
      <xdr:rowOff>0</xdr:rowOff>
    </xdr:from>
    <xdr:to>
      <xdr:col>9</xdr:col>
      <xdr:colOff>461940</xdr:colOff>
      <xdr:row>100</xdr:row>
      <xdr:rowOff>128833</xdr:rowOff>
    </xdr:to>
    <xdr:pic>
      <xdr:nvPicPr>
        <xdr:cNvPr id="4" name="图片 3">
          <a:extLst>
            <a:ext uri="{FF2B5EF4-FFF2-40B4-BE49-F238E27FC236}">
              <a16:creationId xmlns:a16="http://schemas.microsoft.com/office/drawing/2014/main" id="{0986962D-BD3F-4C78-B85F-BFDCEB59AE24}"/>
            </a:ext>
          </a:extLst>
        </xdr:cNvPr>
        <xdr:cNvPicPr>
          <a:picLocks noChangeAspect="1"/>
        </xdr:cNvPicPr>
      </xdr:nvPicPr>
      <xdr:blipFill>
        <a:blip xmlns:r="http://schemas.openxmlformats.org/officeDocument/2006/relationships" r:embed="rId3"/>
        <a:stretch>
          <a:fillRect/>
        </a:stretch>
      </xdr:blipFill>
      <xdr:spPr>
        <a:xfrm>
          <a:off x="0" y="13157200"/>
          <a:ext cx="5948340" cy="4751633"/>
        </a:xfrm>
        <a:prstGeom prst="rect">
          <a:avLst/>
        </a:prstGeom>
      </xdr:spPr>
    </xdr:pic>
    <xdr:clientData/>
  </xdr:twoCellAnchor>
  <xdr:twoCellAnchor editAs="oneCell">
    <xdr:from>
      <xdr:col>0</xdr:col>
      <xdr:colOff>0</xdr:colOff>
      <xdr:row>102</xdr:row>
      <xdr:rowOff>0</xdr:rowOff>
    </xdr:from>
    <xdr:to>
      <xdr:col>13</xdr:col>
      <xdr:colOff>386040</xdr:colOff>
      <xdr:row>141</xdr:row>
      <xdr:rowOff>151078</xdr:rowOff>
    </xdr:to>
    <xdr:pic>
      <xdr:nvPicPr>
        <xdr:cNvPr id="5" name="图片 4">
          <a:extLst>
            <a:ext uri="{FF2B5EF4-FFF2-40B4-BE49-F238E27FC236}">
              <a16:creationId xmlns:a16="http://schemas.microsoft.com/office/drawing/2014/main" id="{A570C3B7-8626-4AED-A215-CC76404B93E3}"/>
            </a:ext>
          </a:extLst>
        </xdr:cNvPr>
        <xdr:cNvPicPr>
          <a:picLocks noChangeAspect="1"/>
        </xdr:cNvPicPr>
      </xdr:nvPicPr>
      <xdr:blipFill>
        <a:blip xmlns:r="http://schemas.openxmlformats.org/officeDocument/2006/relationships" r:embed="rId4"/>
        <a:stretch>
          <a:fillRect/>
        </a:stretch>
      </xdr:blipFill>
      <xdr:spPr>
        <a:xfrm>
          <a:off x="0" y="18135600"/>
          <a:ext cx="8310840" cy="7085278"/>
        </a:xfrm>
        <a:prstGeom prst="rect">
          <a:avLst/>
        </a:prstGeom>
      </xdr:spPr>
    </xdr:pic>
    <xdr:clientData/>
  </xdr:twoCellAnchor>
  <xdr:twoCellAnchor editAs="oneCell">
    <xdr:from>
      <xdr:col>0</xdr:col>
      <xdr:colOff>0</xdr:colOff>
      <xdr:row>142</xdr:row>
      <xdr:rowOff>0</xdr:rowOff>
    </xdr:from>
    <xdr:to>
      <xdr:col>14</xdr:col>
      <xdr:colOff>390626</xdr:colOff>
      <xdr:row>181</xdr:row>
      <xdr:rowOff>5164</xdr:rowOff>
    </xdr:to>
    <xdr:pic>
      <xdr:nvPicPr>
        <xdr:cNvPr id="6" name="图片 5">
          <a:extLst>
            <a:ext uri="{FF2B5EF4-FFF2-40B4-BE49-F238E27FC236}">
              <a16:creationId xmlns:a16="http://schemas.microsoft.com/office/drawing/2014/main" id="{866AFEE8-C2F8-4134-B29A-4A9463857326}"/>
            </a:ext>
          </a:extLst>
        </xdr:cNvPr>
        <xdr:cNvPicPr>
          <a:picLocks noChangeAspect="1"/>
        </xdr:cNvPicPr>
      </xdr:nvPicPr>
      <xdr:blipFill>
        <a:blip xmlns:r="http://schemas.openxmlformats.org/officeDocument/2006/relationships" r:embed="rId5"/>
        <a:stretch>
          <a:fillRect/>
        </a:stretch>
      </xdr:blipFill>
      <xdr:spPr>
        <a:xfrm>
          <a:off x="0" y="25247600"/>
          <a:ext cx="8925026" cy="6939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北京市海淀区学府树家园7号楼7-1号~7-5号1至2层7-3房地产抵押价值预评估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受贵公司委托，我公司对北京市海淀区学府树家园7号楼7-1号~7-5号1至2层7-3房地产抵押价值进行了预评估。</v>
      </c>
    </row>
    <row r="7" spans="1:2">
      <c r="A7" s="1119" t="s">
        <v>566</v>
      </c>
      <c r="B7" s="1120" t="str">
        <f>'预评函-1'!A7</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2025年11月3日</v>
      </c>
    </row>
    <row r="13" spans="1:2">
      <c r="A13" s="1119" t="s">
        <v>529</v>
      </c>
      <c r="B13" s="1120" t="str">
        <f>'预评函-1'!A18</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2684</v>
      </c>
    </row>
    <row r="21" spans="1:2">
      <c r="A21" s="1119" t="s">
        <v>537</v>
      </c>
      <c r="B21" s="1120">
        <f ca="1">'预评函-2'!D7</f>
        <v>40049</v>
      </c>
    </row>
    <row r="22" spans="1:2">
      <c r="A22" s="1119" t="s">
        <v>538</v>
      </c>
      <c r="B22" s="1120" t="str">
        <f ca="1">'预评函-2'!D6</f>
        <v>贰仟陆佰捌拾肆万元整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2684</v>
      </c>
    </row>
    <row r="31" spans="1:2">
      <c r="A31" s="1119" t="s">
        <v>576</v>
      </c>
      <c r="B31" s="1120">
        <f ca="1">'预评函-2'!D15</f>
        <v>40049</v>
      </c>
    </row>
    <row r="32" spans="1:2">
      <c r="A32" s="1119" t="s">
        <v>543</v>
      </c>
      <c r="B32" s="1120" t="str">
        <f ca="1">'预评函-2'!D14</f>
        <v>贰仟陆佰捌拾肆万元整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北京市海淀区学府树家园7号楼7-1号~7-5号1至2层7-3房地产</v>
      </c>
    </row>
    <row r="42" spans="1:2" ht="30">
      <c r="A42" s="1119" t="s">
        <v>590</v>
      </c>
      <c r="B42" s="1120" t="str">
        <f>'预评函-3'!B2</f>
        <v>建筑面积</v>
      </c>
    </row>
    <row r="43" spans="1:2">
      <c r="A43" s="1119" t="s">
        <v>591</v>
      </c>
      <c r="B43" s="1120">
        <f>'预评函-3'!B4</f>
        <v>670.08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45964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1.1200000000000001</v>
      </c>
      <c r="D5" s="2766">
        <f>IF(ISERROR(ROUND(POWER(1+E5,A5-C5)*(POWER(1+E5,C5)-1)/(POWER(1+E5,A5)-1),3)),0,ROUND(POWER(1+E5,A5-C5)*(POWER(1+E5,C5)-1)/(POWER(1+E5,A5)-1),4))</f>
        <v>5.4300000000000001E-2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11.13</v>
      </c>
      <c r="D6" s="2766">
        <f>IF(ISERROR(ROUND(POWER(1+E6,A6-C6)*(POWER(1+E6,C6)-1)/(POWER(1+E6,A6)-1),3)),0,ROUND(POWER(1+E6,A6-C6)*(POWER(1+E6,C6)-1)/(POWER(1+E6,A6)-1),4))</f>
        <v>0.41160000000000002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31.14</v>
      </c>
      <c r="D7" s="2766">
        <f>IF(ISERROR(ROUND(POWER(1+E7,A7-C7)*(POWER(1+E7,C7)-1)/(POWER(1+E7,A7)-1),3)),0,ROUND(POWER(1+E7,A7-C7)*(POWER(1+E7,C7)-1)/(POWER(1+E7,A7)-1),4))</f>
        <v>0.75360000000000005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3" t="str">
        <f>IF(B10="北京市","北京市",C10)&amp;F10&amp;IF(结果表!G1="在建","出让国有建设用地使用权及在建建筑物",IF(结果表!G1="土地","出让国有建设用地使用权",))&amp;B9&amp;"预评估"</f>
        <v>北京市海淀区学府树家园7号楼7-1号~7-5号1至2层7-3房地产抵押价值预评估</v>
      </c>
      <c r="C1" s="3234"/>
      <c r="D1" s="3234"/>
      <c r="E1" s="3234"/>
      <c r="F1" s="3234"/>
      <c r="G1" s="3234"/>
      <c r="H1" s="3234"/>
      <c r="I1" s="323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北京市海淀区学府树家园7号楼7-1号~7-5号1至2层7-3房地产抵押价值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北京市海淀区学府树家园7号楼7-1号~7-5号1至2层7-3房地产</v>
      </c>
      <c r="T2" s="1618"/>
      <c r="U2" s="1618"/>
      <c r="V2" s="1618"/>
      <c r="W2" s="1618"/>
      <c r="X2" s="1618"/>
      <c r="Y2" s="1618"/>
      <c r="Z2" s="1618"/>
      <c r="AA2" s="1618"/>
      <c r="AB2" s="1618"/>
    </row>
    <row r="3" spans="1:30" ht="13">
      <c r="A3" s="294" t="s">
        <v>2170</v>
      </c>
      <c r="B3" s="2185"/>
      <c r="C3" s="2186" t="s">
        <v>2171</v>
      </c>
      <c r="D3" s="2185">
        <v>45964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6"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7"/>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82" t="s">
        <v>3490</v>
      </c>
      <c r="G10" s="2443"/>
      <c r="H10" s="2444"/>
      <c r="I10" s="2445"/>
      <c r="J10" s="2244"/>
      <c r="K10" s="2401"/>
      <c r="L10" s="2398"/>
      <c r="M10" s="2398"/>
      <c r="N10" s="2244"/>
      <c r="O10" s="1670"/>
      <c r="P10" s="2244"/>
      <c r="Q10" s="2244"/>
      <c r="R10" s="2244"/>
    </row>
    <row r="11" spans="1:30" ht="39">
      <c r="A11" s="2212" t="s">
        <v>2181</v>
      </c>
      <c r="B11" s="2213" t="s">
        <v>3420</v>
      </c>
      <c r="C11" s="3183" t="s">
        <v>3491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53265</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20</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43"/>
      <c r="C16" s="3244"/>
      <c r="D16" s="3245"/>
      <c r="E16" s="2221" t="s">
        <v>2194</v>
      </c>
      <c r="F16" s="3246"/>
      <c r="G16" s="3247"/>
      <c r="H16" s="3247"/>
      <c r="I16" s="3248"/>
      <c r="J16" s="2244"/>
      <c r="K16" s="2402"/>
      <c r="L16" s="1670"/>
      <c r="M16" s="1670"/>
      <c r="N16" s="2244"/>
      <c r="O16" s="1670"/>
      <c r="P16" s="2244"/>
      <c r="Q16" s="2244"/>
      <c r="R16" s="2244"/>
    </row>
    <row r="17" spans="1:28" ht="13">
      <c r="A17" s="305" t="s">
        <v>2195</v>
      </c>
      <c r="B17" s="294" t="s">
        <v>2196</v>
      </c>
      <c r="C17" s="8">
        <f>'数据-汇总表'!E3</f>
        <v>670.08</v>
      </c>
      <c r="D17" s="1256" t="s">
        <v>2197</v>
      </c>
      <c r="E17" s="3249" t="s">
        <v>2198</v>
      </c>
      <c r="F17" s="3250"/>
      <c r="G17" s="3250"/>
      <c r="H17" s="3250"/>
      <c r="I17" s="3251"/>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52" t="s">
        <v>2202</v>
      </c>
      <c r="F18" s="3253"/>
      <c r="G18" s="3253"/>
      <c r="H18" s="3253"/>
      <c r="I18" s="3254"/>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9" t="s">
        <v>2206</v>
      </c>
      <c r="C20" s="3240"/>
      <c r="D20" s="3241" t="s">
        <v>2207</v>
      </c>
      <c r="E20" s="3242"/>
      <c r="F20" s="2429" t="s">
        <v>1056</v>
      </c>
      <c r="G20" s="2441"/>
      <c r="H20" s="2441"/>
      <c r="I20" s="2441"/>
      <c r="J20" s="2244"/>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7"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8"/>
      <c r="B30" s="294" t="s">
        <v>2218</v>
      </c>
      <c r="C30" s="3229"/>
      <c r="D30" s="3230"/>
      <c r="E30" s="2441"/>
      <c r="F30" s="2441"/>
      <c r="G30" s="2441"/>
      <c r="H30" s="2441"/>
      <c r="I30" s="2441"/>
      <c r="J30" s="2244"/>
      <c r="K30" s="2401"/>
      <c r="L30" s="2398"/>
      <c r="M30" s="2398"/>
      <c r="N30" s="2244"/>
      <c r="O30" s="1670"/>
      <c r="P30" s="2244"/>
      <c r="Q30" s="2244"/>
      <c r="R30" s="2244"/>
      <c r="S30" s="2244"/>
      <c r="T30" s="2244"/>
      <c r="U30" s="2244"/>
      <c r="V30" s="2244"/>
    </row>
    <row r="31" spans="1:28">
      <c r="A31" s="3231"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4"/>
      <c r="V34" s="2244"/>
    </row>
    <row r="35" spans="1:30">
      <c r="A35" s="2235"/>
      <c r="B35" s="3226" t="s">
        <v>2229</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670.08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670.08</v>
      </c>
      <c r="H5" s="13">
        <f t="shared" ref="H5:AT5" si="0">SUM(H13:H656)</f>
        <v>670.08</v>
      </c>
      <c r="I5" s="13">
        <f t="shared" si="0"/>
        <v>670.08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670.08</v>
      </c>
      <c r="BA5" s="15">
        <f t="shared" si="1"/>
        <v>670.08</v>
      </c>
      <c r="BB5" s="15">
        <f t="shared" si="1"/>
        <v>670.08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670.08</v>
      </c>
      <c r="H13" s="17">
        <f>SUMIF(I$12:AB$12,"总值",I13:AB13)</f>
        <v>670.08</v>
      </c>
      <c r="I13" s="1514">
        <v>670.08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670.08</v>
      </c>
      <c r="BA13" s="13">
        <f>SUM(BB13:BK13)</f>
        <v>670.08</v>
      </c>
      <c r="BB13" s="13">
        <f>IF($D13="是",I13-J13,0)</f>
        <v>670.08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4" t="s">
        <v>1131</v>
      </c>
      <c r="B2" s="3264"/>
      <c r="C2" s="3264"/>
      <c r="D2" s="748" t="s">
        <v>1107</v>
      </c>
      <c r="E2" s="1523" t="s">
        <v>1108</v>
      </c>
      <c r="F2" s="2438"/>
      <c r="G2" s="2431"/>
      <c r="H2" s="2432"/>
      <c r="I2" s="2146" t="s">
        <v>1132</v>
      </c>
      <c r="J2" s="2438"/>
      <c r="K2" s="2438"/>
      <c r="L2" s="2438"/>
      <c r="M2" s="2438"/>
      <c r="N2" s="2439"/>
      <c r="O2" s="2438"/>
      <c r="P2" s="2438"/>
    </row>
    <row r="3" spans="1:16" ht="14.5" thickBot="1">
      <c r="A3" s="3265" t="s">
        <v>1105</v>
      </c>
      <c r="B3" s="3265"/>
      <c r="C3" s="3265"/>
      <c r="D3" s="41">
        <f>'数据-基础表'!AY6</f>
        <v>0</v>
      </c>
      <c r="E3" s="41">
        <f>'数据-基础表'!AZ5</f>
        <v>670.08</v>
      </c>
      <c r="F3" s="2438"/>
      <c r="G3" s="42"/>
      <c r="H3" s="43" t="s">
        <v>1106</v>
      </c>
      <c r="I3" s="802" t="e">
        <f>ROUND('数据-基础表'!B3/'数据-基础表'!A3,2)</f>
        <v>#DIV/0!</v>
      </c>
      <c r="J3" s="2438"/>
      <c r="K3" s="2438"/>
      <c r="L3" s="2438"/>
      <c r="M3" s="2438"/>
      <c r="N3" s="2439"/>
      <c r="O3" s="2438"/>
      <c r="P3" s="2438"/>
    </row>
    <row r="4" spans="1:16">
      <c r="A4" s="3266"/>
      <c r="B4" s="3267"/>
      <c r="C4" s="326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9" t="s">
        <v>1110</v>
      </c>
      <c r="C5" s="326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9" t="s">
        <v>1111</v>
      </c>
      <c r="C6" s="3269"/>
      <c r="D6" s="43">
        <f>ROUND($D$3*E6/$E$3,2)</f>
        <v>0</v>
      </c>
      <c r="E6" s="44">
        <f>E3-E5</f>
        <v>670.08</v>
      </c>
      <c r="F6" s="2438"/>
      <c r="G6" s="1529" t="s">
        <v>1112</v>
      </c>
      <c r="H6" s="45" t="s">
        <v>1113</v>
      </c>
      <c r="I6" s="2434" t="e">
        <f>ROUND(F31/D31,2)</f>
        <v>#DIV/0!</v>
      </c>
      <c r="J6" s="2438"/>
      <c r="K6" s="2438"/>
      <c r="L6" s="2438"/>
      <c r="M6" s="2438"/>
      <c r="N6" s="2438"/>
      <c r="O6" s="2438"/>
      <c r="P6" s="2438"/>
    </row>
    <row r="7" spans="1:16" ht="14.5" thickBot="1">
      <c r="A7" s="3261"/>
      <c r="B7" s="3262"/>
      <c r="C7" s="326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670.08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670.08</v>
      </c>
      <c r="F16" s="2438"/>
      <c r="G16" s="2438"/>
      <c r="H16" s="1531" t="s">
        <v>1135</v>
      </c>
      <c r="I16" s="1532"/>
      <c r="J16" s="1071"/>
      <c r="K16" s="3258" t="s">
        <v>1135</v>
      </c>
      <c r="L16" s="3259"/>
      <c r="M16" s="3259"/>
      <c r="N16" s="3259"/>
      <c r="O16" s="3259"/>
      <c r="P16" s="3260"/>
    </row>
    <row r="17" spans="1:19">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3425</v>
      </c>
      <c r="D19" s="43">
        <f>ROUND($D$3*E19/$E$3,2)</f>
        <v>0</v>
      </c>
      <c r="E19" s="51">
        <f t="shared" ref="E19:E26" si="1">SUM(F19:G19)</f>
        <v>670.08</v>
      </c>
      <c r="F19" s="2556">
        <f>'数据-基础表'!H13</f>
        <v>670.08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670.08</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670.08</v>
      </c>
      <c r="F27" s="1072">
        <f>IF(SUM(F19:F26)=E8,SUM(F19:F26),"地上面积有误")</f>
        <v>670.08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670.08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670.08</v>
      </c>
      <c r="F31" s="644">
        <f>F27+F30</f>
        <v>670.08</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V36" sqref="V3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配套公建</v>
      </c>
      <c r="B6" s="1587" t="str">
        <f>IF(A6=0,"","经营性")</f>
        <v>经营性</v>
      </c>
      <c r="C6" s="1588" t="s">
        <v>673</v>
      </c>
      <c r="D6" s="805">
        <f>SUMIF(项目基本情况!C$12:I$12,C6,项目基本情况!C$14:I$14)</f>
        <v>40</v>
      </c>
      <c r="E6" s="804">
        <f>IF(B6="","",SUMIF(项目基本情况!C$12:I$12,C6,项目基本情况!C$13:I$13))</f>
        <v>53265</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670.08</v>
      </c>
      <c r="L6" s="692">
        <v>4000</v>
      </c>
      <c r="M6" s="64">
        <f t="shared" ref="M6:M14" si="0">ROUND(K6*L6/10000,0)</f>
        <v>268</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0.01</v>
      </c>
      <c r="AN6" s="1589" t="s">
        <v>3429</v>
      </c>
      <c r="AO6" s="50">
        <f ca="1">SUMIF(INDIRECT("'"&amp;AN6&amp;"'"&amp;"!A:A"),"总价",INDIRECT("'"&amp;AN6&amp;"'"&amp;"!B:B"))</f>
        <v>1403.8623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670.08</v>
      </c>
      <c r="L16" s="87">
        <f>ROUND(M16*10000/SUM(K6:K14),0)</f>
        <v>4000</v>
      </c>
      <c r="M16" s="87">
        <f>SUM(M6:M14)</f>
        <v>268</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2007</v>
      </c>
      <c r="O18" s="3169" t="s">
        <v>3434</v>
      </c>
      <c r="P18" s="3170">
        <f>N18-B21+40</f>
        <v>2045</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3426</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5" sqref="K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670.08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45964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2684</v>
      </c>
      <c r="C5" s="2299">
        <f ca="1">IF(B5=D14,结果表!H102,ROUND(B5*10000/$B$1,0))</f>
        <v>40049</v>
      </c>
      <c r="D5" s="2299" t="e">
        <f ca="1">ROUND(B5*10000/$B$2,0)</f>
        <v>#DIV/0!</v>
      </c>
      <c r="E5" s="2460"/>
      <c r="F5" s="2461"/>
      <c r="G5" s="2461"/>
      <c r="H5" s="2461"/>
      <c r="I5" s="2461"/>
      <c r="J5" s="2461"/>
      <c r="K5" s="2461"/>
    </row>
    <row r="6" spans="1:11" ht="16.5">
      <c r="A6" s="2299" t="s">
        <v>656</v>
      </c>
      <c r="B6" s="2299">
        <f ca="1">SUM(G14:G23)</f>
        <v>2684</v>
      </c>
      <c r="C6" s="2299">
        <f ca="1">IF(B6=G14,结果表!H108,ROUND(B6*10000/$B$1,0))</f>
        <v>40049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670.08</v>
      </c>
      <c r="C14" s="2305"/>
      <c r="D14" s="2305">
        <f ca="1">结果表!H101</f>
        <v>2684</v>
      </c>
      <c r="E14" s="2305">
        <f ca="1">结果表!H102</f>
        <v>40049</v>
      </c>
      <c r="F14" s="2305" t="e">
        <f ca="1">ROUND(D14*10000/C14,0)</f>
        <v>#DIV/0!</v>
      </c>
      <c r="G14" s="2305">
        <f ca="1">D14</f>
        <v>2684</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5" zoomScaleNormal="100" zoomScaleSheetLayoutView="100" zoomScalePageLayoutView="80" workbookViewId="0">
      <selection activeCell="H116" sqref="H116:I11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3424</v>
      </c>
      <c r="D1" s="646"/>
      <c r="E1" s="646"/>
      <c r="F1" s="1621" t="s">
        <v>1263</v>
      </c>
      <c r="G1" s="1453" t="s">
        <v>3421</v>
      </c>
      <c r="H1" s="1621" t="str">
        <f>IF(G1="现房","——","估价对象范围")</f>
        <v>——</v>
      </c>
      <c r="I1" s="1622"/>
    </row>
    <row r="2" spans="1:12" ht="21.75" customHeight="1" thickBot="1">
      <c r="A2" s="3306" t="str">
        <f>项目基本情况!S2</f>
        <v>北京市海淀区学府树家园7号楼7-1号~7-5号1至2层7-3房地产</v>
      </c>
      <c r="B2" s="3307"/>
      <c r="C2" s="3307"/>
      <c r="D2" s="3307"/>
      <c r="E2" s="3307"/>
      <c r="F2" s="3307"/>
      <c r="G2" s="3307"/>
      <c r="H2" s="3307"/>
      <c r="I2" s="3308"/>
    </row>
    <row r="3" spans="1:12" ht="13">
      <c r="A3" s="3310" t="s">
        <v>1264</v>
      </c>
      <c r="B3" s="3311"/>
      <c r="C3" s="3311"/>
      <c r="D3" s="3311"/>
      <c r="E3" s="3311"/>
      <c r="F3" s="3311"/>
      <c r="G3" s="3311"/>
      <c r="H3" s="3311"/>
      <c r="I3" s="3311"/>
    </row>
    <row r="4" spans="1:12" ht="14">
      <c r="A4" s="1624" t="s">
        <v>1265</v>
      </c>
      <c r="B4" s="1625" t="s">
        <v>1266</v>
      </c>
      <c r="C4" s="1626" t="s">
        <v>3469</v>
      </c>
      <c r="D4" s="1626" t="s">
        <v>3429</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6" t="s">
        <v>1268</v>
      </c>
      <c r="B5" s="3273">
        <v>25</v>
      </c>
      <c r="C5" s="3289"/>
      <c r="D5" s="3309"/>
      <c r="E5" s="123" t="s">
        <v>1269</v>
      </c>
      <c r="F5" s="1627"/>
      <c r="G5" s="1627"/>
      <c r="H5" s="1627"/>
      <c r="I5" s="1281"/>
    </row>
    <row r="6" spans="1:12" ht="13">
      <c r="A6" s="3286"/>
      <c r="B6" s="3273"/>
      <c r="C6" s="3290"/>
      <c r="D6" s="3309"/>
      <c r="E6" s="123" t="s">
        <v>1270</v>
      </c>
      <c r="F6" s="1627"/>
      <c r="G6" s="1627"/>
      <c r="H6" s="1627"/>
      <c r="I6" s="1281"/>
    </row>
    <row r="7" spans="1:12" ht="13">
      <c r="A7" s="3286"/>
      <c r="B7" s="3273"/>
      <c r="C7" s="3291"/>
      <c r="D7" s="3309"/>
      <c r="E7" s="123" t="s">
        <v>1271</v>
      </c>
      <c r="F7" s="1627"/>
      <c r="G7" s="1627"/>
      <c r="H7" s="1627"/>
      <c r="I7" s="1281"/>
    </row>
    <row r="8" spans="1:12" ht="13">
      <c r="A8" s="3286" t="s">
        <v>1272</v>
      </c>
      <c r="B8" s="3273">
        <v>15</v>
      </c>
      <c r="C8" s="3289"/>
      <c r="D8" s="3309"/>
      <c r="E8" s="123" t="s">
        <v>1273</v>
      </c>
      <c r="F8" s="1627"/>
      <c r="G8" s="1627"/>
      <c r="H8" s="1627"/>
      <c r="I8" s="1281"/>
    </row>
    <row r="9" spans="1:12" ht="13">
      <c r="A9" s="3286"/>
      <c r="B9" s="3273"/>
      <c r="C9" s="3291"/>
      <c r="D9" s="3309"/>
      <c r="E9" s="123" t="s">
        <v>1274</v>
      </c>
      <c r="F9" s="1627"/>
      <c r="G9" s="1627"/>
      <c r="H9" s="1627"/>
      <c r="I9" s="1281"/>
    </row>
    <row r="10" spans="1:12" ht="13">
      <c r="A10" s="3286" t="s">
        <v>1275</v>
      </c>
      <c r="B10" s="3273">
        <v>15</v>
      </c>
      <c r="C10" s="3289"/>
      <c r="D10" s="3309"/>
      <c r="E10" s="123" t="s">
        <v>1276</v>
      </c>
      <c r="F10" s="1627"/>
      <c r="G10" s="1627"/>
      <c r="H10" s="1627"/>
      <c r="I10" s="1281"/>
    </row>
    <row r="11" spans="1:12" ht="13">
      <c r="A11" s="3286"/>
      <c r="B11" s="3273"/>
      <c r="C11" s="3291"/>
      <c r="D11" s="3309"/>
      <c r="E11" s="123" t="s">
        <v>1277</v>
      </c>
      <c r="F11" s="1627"/>
      <c r="G11" s="1627"/>
      <c r="H11" s="1627"/>
      <c r="I11" s="1281"/>
    </row>
    <row r="12" spans="1:12" ht="13">
      <c r="A12" s="3286" t="s">
        <v>1278</v>
      </c>
      <c r="B12" s="3273">
        <v>15</v>
      </c>
      <c r="C12" s="3289"/>
      <c r="D12" s="3309"/>
      <c r="E12" s="123" t="s">
        <v>1279</v>
      </c>
      <c r="F12" s="1627"/>
      <c r="G12" s="1627"/>
      <c r="H12" s="1627"/>
      <c r="I12" s="1281"/>
    </row>
    <row r="13" spans="1:12" ht="13">
      <c r="A13" s="3286"/>
      <c r="B13" s="3273"/>
      <c r="C13" s="3291"/>
      <c r="D13" s="3309"/>
      <c r="E13" s="123" t="s">
        <v>1280</v>
      </c>
      <c r="F13" s="1627"/>
      <c r="G13" s="1627"/>
      <c r="H13" s="1627"/>
      <c r="I13" s="1281"/>
    </row>
    <row r="14" spans="1:12" ht="13">
      <c r="A14" s="3286" t="s">
        <v>1281</v>
      </c>
      <c r="B14" s="3273">
        <v>30</v>
      </c>
      <c r="C14" s="3289">
        <v>7</v>
      </c>
      <c r="D14" s="3309">
        <v>3</v>
      </c>
      <c r="E14" s="123" t="s">
        <v>1282</v>
      </c>
      <c r="F14" s="1627"/>
      <c r="G14" s="1627"/>
      <c r="H14" s="1627"/>
      <c r="I14" s="1281"/>
    </row>
    <row r="15" spans="1:12" ht="13">
      <c r="A15" s="3286"/>
      <c r="B15" s="3273"/>
      <c r="C15" s="3290"/>
      <c r="D15" s="3309"/>
      <c r="E15" s="123" t="s">
        <v>1283</v>
      </c>
      <c r="F15" s="1627"/>
      <c r="G15" s="1627"/>
      <c r="H15" s="1627"/>
      <c r="I15" s="1281"/>
    </row>
    <row r="16" spans="1:12" ht="13">
      <c r="A16" s="3286"/>
      <c r="B16" s="3273"/>
      <c r="C16" s="3291"/>
      <c r="D16" s="3309"/>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6" t="s">
        <v>2131</v>
      </c>
      <c r="F18" s="3297"/>
      <c r="G18" s="3297"/>
      <c r="H18" s="3297"/>
      <c r="I18" s="3297"/>
      <c r="K18" s="294" t="s">
        <v>1289</v>
      </c>
      <c r="L18" s="294">
        <f>IF(C1="",'数据-汇总表'!E3,SUMIF(项目类型,C1,'数据-汇总表'!E17:E26)+SUMIF(项目类型,C1,'数据-汇总表'!I17:I26))</f>
        <v>670.08</v>
      </c>
      <c r="M18" s="294">
        <f>IF(C1="",'数据-汇总表'!E3,SUMIF(项目类型,C1,'数据-汇总表'!E17:E26))</f>
        <v>670.08</v>
      </c>
    </row>
    <row r="19" spans="1:36" ht="14">
      <c r="A19" s="1630" t="s">
        <v>1290</v>
      </c>
      <c r="B19" s="1631" t="s">
        <v>1291</v>
      </c>
      <c r="C19" s="126">
        <f ca="1">SUMIF(INDIRECT("'"&amp;C4&amp;"'"&amp;"!A:A"),结果表!B19,INDIRECT("'"&amp;C4&amp;"'"&amp;"!B:B"))</f>
        <v>3232.0639000000001</v>
      </c>
      <c r="D19" s="127">
        <f ca="1">SUMIF(INDIRECT("'"&amp;D4&amp;"'"&amp;"!A:A"),结果表!B19,INDIRECT("'"&amp;D4&amp;"'"&amp;"!B:B"))</f>
        <v>1403.8623</v>
      </c>
      <c r="E19" s="1630" t="s">
        <v>1292</v>
      </c>
      <c r="F19" s="1631" t="s">
        <v>1291</v>
      </c>
      <c r="G19" s="128">
        <f ca="1">ROUND(C19*$C$18+D19*$D$18,0)</f>
        <v>2684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48234</v>
      </c>
      <c r="D20" s="130">
        <f ca="1">SUMIF(INDIRECT("'"&amp;D4&amp;"'"&amp;"!A:A"),结果表!B20,INDIRECT("'"&amp;D4&amp;"'"&amp;"!B:B"))</f>
        <v>20951</v>
      </c>
      <c r="E20" s="1633"/>
      <c r="F20" s="43" t="s">
        <v>1295</v>
      </c>
      <c r="G20" s="131">
        <f ca="1">ROUND(C20*$C$18+D20*$D$18,0)</f>
        <v>40049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1.3022656139423363</v>
      </c>
      <c r="E22" s="121"/>
      <c r="F22" s="121"/>
      <c r="G22" s="121"/>
      <c r="H22" s="121"/>
      <c r="I22" s="121"/>
    </row>
    <row r="23" spans="1:36" ht="13" thickBot="1">
      <c r="A23" s="646"/>
      <c r="B23" s="646"/>
      <c r="C23" s="646"/>
      <c r="D23" s="646"/>
      <c r="E23" s="121"/>
      <c r="F23" s="121"/>
      <c r="G23" s="121"/>
      <c r="H23" s="121"/>
      <c r="I23" s="121"/>
    </row>
    <row r="24" spans="1:36" ht="14">
      <c r="A24" s="3280" t="s">
        <v>1299</v>
      </c>
      <c r="B24" s="1631" t="s">
        <v>1291</v>
      </c>
      <c r="C24" s="128">
        <f>IF(B30=0,0,D30)</f>
        <v>0</v>
      </c>
      <c r="D24" s="1637"/>
      <c r="E24" s="121"/>
      <c r="F24" s="121"/>
      <c r="G24" s="121"/>
      <c r="H24" s="121"/>
      <c r="I24" s="121"/>
    </row>
    <row r="25" spans="1:36" ht="14">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40049</v>
      </c>
      <c r="D32" s="1641" t="s">
        <v>3471</v>
      </c>
      <c r="E32" s="121"/>
      <c r="F32" s="121"/>
      <c r="G32" s="121"/>
      <c r="H32" s="121"/>
      <c r="I32" s="121"/>
    </row>
    <row r="33" spans="1:15" ht="14">
      <c r="A33" s="740" t="s">
        <v>1306</v>
      </c>
      <c r="B33" s="123"/>
      <c r="C33" s="1642" t="s">
        <v>3472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00" t="s">
        <v>1312</v>
      </c>
      <c r="B36" s="1652" t="s">
        <v>1313</v>
      </c>
      <c r="C36" s="137"/>
      <c r="D36" s="1653"/>
      <c r="E36" s="1567"/>
      <c r="F36" s="1654"/>
      <c r="G36" s="121"/>
      <c r="H36" s="121"/>
      <c r="I36" s="121"/>
    </row>
    <row r="37" spans="1:15" ht="14.5" thickBot="1">
      <c r="A37" s="3301"/>
      <c r="B37" s="1555" t="s">
        <v>1314</v>
      </c>
      <c r="C37" s="139"/>
      <c r="D37" s="1071"/>
      <c r="E37" s="1071"/>
      <c r="F37" s="1654"/>
      <c r="G37" s="121"/>
      <c r="H37" s="121"/>
      <c r="I37" s="121"/>
    </row>
    <row r="38" spans="1:15" ht="14.5" thickBot="1">
      <c r="A38" s="3302"/>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2684</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09">
        <v>1</v>
      </c>
      <c r="K46" s="3336" t="s">
        <v>1331</v>
      </c>
      <c r="L46" s="3336"/>
      <c r="M46" s="3356"/>
      <c r="N46" s="3356"/>
      <c r="O46" s="3356"/>
    </row>
    <row r="47" spans="1:15" ht="12" customHeight="1">
      <c r="A47" s="152" t="s">
        <v>1332</v>
      </c>
      <c r="B47" s="153"/>
      <c r="C47" s="154"/>
      <c r="D47" s="1024" t="s">
        <v>1333</v>
      </c>
      <c r="E47" s="294" t="s">
        <v>1334</v>
      </c>
      <c r="F47" s="155" t="s">
        <v>1335</v>
      </c>
      <c r="G47" s="2332" t="s">
        <v>1336</v>
      </c>
      <c r="H47" s="2333"/>
      <c r="I47" s="151"/>
      <c r="J47" s="2309">
        <v>2</v>
      </c>
      <c r="K47" s="3336" t="s">
        <v>1337</v>
      </c>
      <c r="L47" s="3336"/>
      <c r="M47" s="3357">
        <f>'数据-取费表'!B2</f>
        <v>45964</v>
      </c>
      <c r="N47" s="3357"/>
      <c r="O47" s="3357"/>
    </row>
    <row r="48" spans="1:15" ht="26">
      <c r="A48" s="3305" t="s">
        <v>1338</v>
      </c>
      <c r="B48" s="3288"/>
      <c r="C48" s="328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6" t="s">
        <v>1340</v>
      </c>
      <c r="L48" s="3336"/>
      <c r="M48" s="3358">
        <f ca="1">H101</f>
        <v>2684</v>
      </c>
      <c r="N48" s="3358"/>
      <c r="O48" s="3358"/>
    </row>
    <row r="49" spans="1:35" ht="25.5" customHeight="1">
      <c r="A49" s="2152" t="s">
        <v>1341</v>
      </c>
      <c r="B49" s="3272" t="s">
        <v>1342</v>
      </c>
      <c r="C49" s="3272"/>
      <c r="D49" s="1478">
        <v>0</v>
      </c>
      <c r="E49" s="316" t="s">
        <v>1343</v>
      </c>
      <c r="F49" s="2232" t="s">
        <v>28</v>
      </c>
      <c r="G49" s="3342"/>
      <c r="H49" s="2134" t="s">
        <v>2134</v>
      </c>
      <c r="I49" s="2135"/>
      <c r="J49" s="2309">
        <v>4</v>
      </c>
      <c r="K49" s="3336" t="str">
        <f>IF(项目基本情况!E8="房地产抵押价值","房地产抵押价值","抵押担保权已注销时的房地产抵押价值")</f>
        <v>房地产抵押价值</v>
      </c>
      <c r="L49" s="3336"/>
      <c r="M49" s="3358">
        <f ca="1">IF(项目基本情况!E8="房地产抵押价值",H107,H109)</f>
        <v>2684</v>
      </c>
      <c r="N49" s="3358"/>
      <c r="O49" s="3358"/>
    </row>
    <row r="50" spans="1:35" ht="25.5" customHeight="1">
      <c r="A50" s="2337"/>
      <c r="B50" s="3272" t="s">
        <v>1344</v>
      </c>
      <c r="C50" s="3272"/>
      <c r="D50" s="2189"/>
      <c r="E50" s="323"/>
      <c r="F50" s="2232"/>
      <c r="G50" s="3343"/>
      <c r="H50" s="2136" t="s">
        <v>2135</v>
      </c>
      <c r="I50" s="2135"/>
      <c r="J50" s="3355" t="s">
        <v>1345</v>
      </c>
      <c r="K50" s="3355"/>
      <c r="L50" s="3355"/>
      <c r="M50" s="3355"/>
      <c r="N50" s="3355"/>
      <c r="O50" s="3355"/>
    </row>
    <row r="51" spans="1:35" ht="20.5" customHeight="1">
      <c r="A51" s="2338"/>
      <c r="B51" s="3272" t="s">
        <v>1346</v>
      </c>
      <c r="C51" s="3272"/>
      <c r="D51" s="1024"/>
      <c r="E51" s="319"/>
      <c r="F51" s="2232"/>
      <c r="G51" s="3344"/>
      <c r="H51" s="2136" t="s">
        <v>2136</v>
      </c>
      <c r="I51" s="2135"/>
      <c r="J51" s="2310" t="s">
        <v>1347</v>
      </c>
      <c r="K51" s="3336" t="s">
        <v>1348</v>
      </c>
      <c r="L51" s="3336"/>
      <c r="M51" s="2310" t="s">
        <v>1349</v>
      </c>
      <c r="N51" s="2310" t="s">
        <v>1350</v>
      </c>
      <c r="O51" s="2310" t="s">
        <v>1351</v>
      </c>
    </row>
    <row r="52" spans="1:35" ht="24" customHeight="1">
      <c r="A52" s="2153" t="s">
        <v>1352</v>
      </c>
      <c r="B52" s="3272" t="s">
        <v>1353</v>
      </c>
      <c r="C52" s="3272"/>
      <c r="D52" s="1024">
        <f ca="1">ROUND(D45*'数据-取费表'!B41/(1+'数据-取费表'!C42),0)</f>
        <v>143</v>
      </c>
      <c r="E52" s="1256" t="s">
        <v>1354</v>
      </c>
      <c r="F52" s="2339">
        <f>'数据-取费表'!B41</f>
        <v>5.6000000000000001E-2</v>
      </c>
      <c r="G52" s="2340"/>
      <c r="H52" s="2330"/>
      <c r="I52" s="1669"/>
      <c r="J52" s="2309">
        <v>1</v>
      </c>
      <c r="K52" s="3337" t="s">
        <v>1355</v>
      </c>
      <c r="L52" s="3337"/>
      <c r="M52" s="2311" t="b">
        <f>D48</f>
        <v>0</v>
      </c>
      <c r="N52" s="2309" t="str">
        <f>E48</f>
        <v>销售额×税（费）率</v>
      </c>
      <c r="O52" s="2312">
        <f>F48</f>
        <v>5.6000000000000001E-2</v>
      </c>
    </row>
    <row r="53" spans="1:35" ht="12" customHeight="1">
      <c r="A53" s="2153" t="s">
        <v>1356</v>
      </c>
      <c r="B53" s="3298" t="s">
        <v>2291</v>
      </c>
      <c r="C53" s="3299"/>
      <c r="D53" s="1024">
        <f ca="1">ROUND(D45*'数据-取费表'!B41/(1+'数据-取费表'!C42),0)</f>
        <v>143</v>
      </c>
      <c r="E53" s="1256" t="s">
        <v>1354</v>
      </c>
      <c r="F53" s="2339">
        <f>'数据-取费表'!B41</f>
        <v>5.6000000000000001E-2</v>
      </c>
      <c r="G53" s="2340"/>
      <c r="H53" s="2330"/>
      <c r="I53" s="1669"/>
      <c r="J53" s="2309">
        <v>2</v>
      </c>
      <c r="K53" s="3337" t="s">
        <v>1357</v>
      </c>
      <c r="L53" s="3337"/>
      <c r="M53" s="2311">
        <f t="shared" ref="M53:O54" ca="1" si="0">D55</f>
        <v>1</v>
      </c>
      <c r="N53" s="2309" t="str">
        <f t="shared" si="0"/>
        <v>销售额×税（费）率</v>
      </c>
      <c r="O53" s="2312" t="str">
        <f t="shared" si="0"/>
        <v>免征</v>
      </c>
    </row>
    <row r="54" spans="1:35" ht="12" customHeight="1">
      <c r="A54" s="2153" t="s">
        <v>1358</v>
      </c>
      <c r="B54" s="3298" t="s">
        <v>2292</v>
      </c>
      <c r="C54" s="3299"/>
      <c r="D54" s="1024">
        <f ca="1">C68</f>
        <v>143</v>
      </c>
      <c r="E54" s="319" t="s">
        <v>1359</v>
      </c>
      <c r="F54" s="2339">
        <f>'数据-取费表'!B41</f>
        <v>5.6000000000000001E-2</v>
      </c>
      <c r="G54" s="2340"/>
      <c r="H54" s="2341"/>
      <c r="I54" s="1669"/>
      <c r="J54" s="2309">
        <v>3</v>
      </c>
      <c r="K54" s="3337" t="s">
        <v>1360</v>
      </c>
      <c r="L54" s="3337"/>
      <c r="M54" s="2311">
        <f t="shared" ca="1" si="0"/>
        <v>1519</v>
      </c>
      <c r="N54" s="2309" t="str">
        <f t="shared" si="0"/>
        <v>增值额×税（费）率</v>
      </c>
      <c r="O54" s="2313" t="str">
        <f t="shared" si="0"/>
        <v>免征</v>
      </c>
    </row>
    <row r="55" spans="1:35" ht="24" customHeight="1">
      <c r="A55" s="3287" t="s">
        <v>1361</v>
      </c>
      <c r="B55" s="3288"/>
      <c r="C55" s="3288"/>
      <c r="D55" s="12">
        <f ca="1">IF(H55="个人住宅",0,ROUND(D45*I55,0))</f>
        <v>1</v>
      </c>
      <c r="E55" s="1256" t="s">
        <v>1362</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26</v>
      </c>
      <c r="N55" s="1883" t="str">
        <f>E59</f>
        <v>差额计税</v>
      </c>
      <c r="O55" s="2315">
        <f>F59</f>
        <v>0.01</v>
      </c>
    </row>
    <row r="56" spans="1:35" ht="26">
      <c r="A56" s="3287" t="s">
        <v>1363</v>
      </c>
      <c r="B56" s="3288"/>
      <c r="C56" s="3288"/>
      <c r="D56" s="12">
        <f ca="1">IF(H56="个人住宅",D57,D58)</f>
        <v>1519</v>
      </c>
      <c r="E56" s="1256" t="s">
        <v>1364</v>
      </c>
      <c r="F56" s="2339" t="str">
        <f>IF(H56="正常",F58,"免征")</f>
        <v>免征</v>
      </c>
      <c r="G56" s="2342" t="s">
        <v>1365</v>
      </c>
      <c r="H56" s="2343"/>
      <c r="I56" s="1670"/>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3">
      <c r="A57" s="2153" t="s">
        <v>1341</v>
      </c>
      <c r="B57" s="3298" t="s">
        <v>1366</v>
      </c>
      <c r="C57" s="3299"/>
      <c r="D57" s="1478">
        <v>0</v>
      </c>
      <c r="E57" s="316" t="s">
        <v>1343</v>
      </c>
      <c r="F57" s="294"/>
      <c r="G57" s="2340"/>
      <c r="H57" s="2344"/>
      <c r="I57" s="1670"/>
      <c r="J57" s="3337">
        <f>IF(AND(J55="",J56=""),4,IF(项目基本情况!K6="上海银行",结果表!J56+1,结果表!J55+1))</f>
        <v>5</v>
      </c>
      <c r="K57" s="3337" t="s">
        <v>1367</v>
      </c>
      <c r="L57" s="2316" t="s">
        <v>1368</v>
      </c>
      <c r="M57" s="2317"/>
      <c r="N57" s="2318">
        <f ca="1">SUMIF(M52:M56,"&lt;9e307")</f>
        <v>1546</v>
      </c>
      <c r="O57" s="2319"/>
      <c r="P57" s="2463">
        <f ca="1">N57/M49</f>
        <v>0.57600596125186287</v>
      </c>
    </row>
    <row r="58" spans="1:35" ht="26">
      <c r="A58" s="2153" t="s">
        <v>1352</v>
      </c>
      <c r="B58" s="3298" t="s">
        <v>1369</v>
      </c>
      <c r="C58" s="3272"/>
      <c r="D58" s="12">
        <f ca="1">IF(H58="转让取得",C81,C97)</f>
        <v>1519</v>
      </c>
      <c r="E58" s="1256" t="s">
        <v>1364</v>
      </c>
      <c r="F58" s="294" t="s">
        <v>28</v>
      </c>
      <c r="G58" s="2340"/>
      <c r="H58" s="2343"/>
      <c r="I58" s="1670"/>
      <c r="J58" s="3337"/>
      <c r="K58" s="3337"/>
      <c r="L58" s="2316" t="s">
        <v>1370</v>
      </c>
      <c r="M58" s="2320"/>
      <c r="N58" s="2321" t="str">
        <f ca="1">NUMBERSTRING(INT(N57*10000),2)&amp;"元整"</f>
        <v>壹仟伍佰肆拾陆万元整</v>
      </c>
      <c r="O58" s="2322"/>
    </row>
    <row r="59" spans="1:35" ht="26.5" thickBot="1">
      <c r="A59" s="3340" t="s">
        <v>1371</v>
      </c>
      <c r="B59" s="3341"/>
      <c r="C59" s="3341"/>
      <c r="D59" s="2345">
        <f ca="1">IF(H59="非个人房产","——",IF(H59="个人住宅（满五唯一有凭证）",0,IF(H59="个人其他（无凭证）",ROUND(D45/(1+'数据-取费表'!C42)*F59,0),ROUND(C67*F59,0))))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8">
        <f>J57+1</f>
        <v>6</v>
      </c>
      <c r="K59" s="3337" t="s">
        <v>1372</v>
      </c>
      <c r="L59" s="2309" t="s">
        <v>1368</v>
      </c>
      <c r="M59" s="2323"/>
      <c r="N59" s="2324">
        <f ca="1">M49-N57</f>
        <v>1138</v>
      </c>
      <c r="O59" s="2325"/>
    </row>
    <row r="60" spans="1:35" ht="12" customHeight="1">
      <c r="A60" s="1671"/>
      <c r="B60" s="646"/>
      <c r="C60" s="646"/>
      <c r="D60" s="646"/>
      <c r="E60" s="1466"/>
      <c r="F60" s="1670"/>
      <c r="G60" s="1670"/>
      <c r="H60" s="151"/>
      <c r="I60" s="121"/>
      <c r="J60" s="3339"/>
      <c r="K60" s="3337"/>
      <c r="L60" s="2316" t="s">
        <v>1370</v>
      </c>
      <c r="M60" s="2320"/>
      <c r="N60" s="2321" t="str">
        <f ca="1">NUMBERSTRING(INT(N59*10000),2)&amp;"元整"</f>
        <v>壹仟壹佰叁拾捌万元整</v>
      </c>
      <c r="O60" s="2322"/>
    </row>
    <row r="61" spans="1:35" ht="13.5" thickBot="1">
      <c r="A61" s="3285" t="s">
        <v>1373</v>
      </c>
      <c r="B61" s="3285"/>
      <c r="C61" s="3285"/>
      <c r="D61" s="3285"/>
      <c r="E61" s="3285"/>
      <c r="F61" s="1670"/>
      <c r="G61" s="1670"/>
      <c r="H61" s="151"/>
      <c r="I61" s="121"/>
      <c r="J61" s="2309">
        <f>J59+1</f>
        <v>7</v>
      </c>
      <c r="K61" s="3337" t="s">
        <v>1374</v>
      </c>
      <c r="L61" s="3337"/>
      <c r="M61" s="2326"/>
      <c r="N61" s="2327">
        <f ca="1">ROUND(N59*10000/'数据-汇总表'!E3,0)</f>
        <v>16983</v>
      </c>
      <c r="O61" s="2328"/>
    </row>
    <row r="62" spans="1:35" ht="13">
      <c r="A62" s="3303" t="s">
        <v>1375</v>
      </c>
      <c r="B62" s="3304"/>
      <c r="C62" s="1865"/>
      <c r="D62" s="1865" t="s">
        <v>1376</v>
      </c>
      <c r="E62" s="158" t="s">
        <v>1377</v>
      </c>
      <c r="F62" s="1670"/>
      <c r="G62" s="1670"/>
      <c r="H62" s="151"/>
      <c r="I62" s="121"/>
    </row>
    <row r="63" spans="1:35" ht="13">
      <c r="A63" s="165" t="s">
        <v>330</v>
      </c>
      <c r="B63" s="159" t="s">
        <v>1378</v>
      </c>
      <c r="C63" s="2349">
        <f ca="1">ROUND((C64+C65)/(1+'数据-取费表'!C42),0)</f>
        <v>2556</v>
      </c>
      <c r="D63" s="159"/>
      <c r="E63" s="160"/>
      <c r="F63" s="1670"/>
      <c r="G63" s="1670"/>
      <c r="H63" s="151"/>
      <c r="I63" s="121"/>
      <c r="J63" s="3362" t="s">
        <v>1379</v>
      </c>
      <c r="K63" s="1245" t="s">
        <v>1380</v>
      </c>
      <c r="L63" s="1245">
        <f ca="1">IF(M49&gt;10000,M49*0.5%,IF(AND(M49&gt;1000,M49&lt;=10000),M49*1%,IF(AND(M49&gt;100,M49&lt;=1000),M49*3%,IF(AND(M49&gt;10,M49&lt;=100),M49*5%,M49*8%))))</f>
        <v>26.84</v>
      </c>
      <c r="M63" s="294">
        <f ca="1">ROUND(L63,1)</f>
        <v>26.8</v>
      </c>
      <c r="N63" s="2329"/>
      <c r="Z63" s="1623"/>
      <c r="AI63" s="1561"/>
    </row>
    <row r="64" spans="1:35" ht="14.25" customHeight="1">
      <c r="A64" s="161" t="s">
        <v>325</v>
      </c>
      <c r="B64" s="162" t="s">
        <v>1381</v>
      </c>
      <c r="C64" s="2350">
        <f ca="1">D45</f>
        <v>2684</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13.42</v>
      </c>
      <c r="M64" s="294">
        <f t="shared" ref="M64:M65" ca="1" si="1">ROUND(L64,1)</f>
        <v>13.4</v>
      </c>
      <c r="N64" s="2330" t="s">
        <v>1383</v>
      </c>
      <c r="Z64" s="1623"/>
      <c r="AI64" s="1561"/>
    </row>
    <row r="65" spans="1:35" ht="14.25" customHeight="1">
      <c r="A65" s="161" t="s">
        <v>326</v>
      </c>
      <c r="B65" s="162" t="s">
        <v>1384</v>
      </c>
      <c r="C65" s="2351"/>
      <c r="D65" s="162"/>
      <c r="E65" s="164"/>
      <c r="F65" s="1670"/>
      <c r="G65" s="1670"/>
      <c r="H65" s="151"/>
      <c r="I65" s="121"/>
      <c r="J65" s="3362"/>
      <c r="K65" s="1245" t="s">
        <v>1385</v>
      </c>
      <c r="L65" s="1245">
        <f ca="1">IF(M49&gt;1000,M49*0.1%,IF(AND(M49&gt;500,M49&lt;=1000),M49*0.5%,IF(AND(M49&gt;50,M49&lt;=500),M49*1%,IF(AND(M49&gt;1,M49&lt;=50),M49*1.5%))))</f>
        <v>2.6840000000000002</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362"/>
      <c r="K66" s="1245" t="s">
        <v>1387</v>
      </c>
      <c r="L66" s="1245">
        <f ca="1">M49*0.5%</f>
        <v>13.42</v>
      </c>
      <c r="M66" s="294">
        <f ca="1">IF(L66&gt;0.5,0.5,ROUND(L66,0))</f>
        <v>0.5</v>
      </c>
      <c r="N66" s="2330" t="s">
        <v>1388</v>
      </c>
      <c r="Z66" s="1623"/>
      <c r="AI66" s="1561"/>
    </row>
    <row r="67" spans="1:35" ht="14.25" customHeight="1">
      <c r="A67" s="165" t="s">
        <v>328</v>
      </c>
      <c r="B67" s="166" t="s">
        <v>1389</v>
      </c>
      <c r="C67" s="2353">
        <f ca="1">C63-C66</f>
        <v>2556</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143</v>
      </c>
      <c r="D68" s="2355">
        <f>'数据-取费表'!B41</f>
        <v>5.6000000000000001E-2</v>
      </c>
      <c r="E68" s="170"/>
      <c r="F68" s="1670"/>
      <c r="G68" s="1670"/>
      <c r="H68" s="151"/>
      <c r="I68" s="121"/>
      <c r="J68" s="3362"/>
      <c r="K68" s="1245" t="s">
        <v>1392</v>
      </c>
      <c r="L68" s="1245">
        <f ca="1">IF(M49&gt;10000,M49*0.5%,IF(AND(M49&gt;5000,M49&lt;=10000),M49*1%,IF(AND(M49&gt;1000,M49&lt;=5000),M49*2%,IF(AND(M49&gt;200,M49&lt;=1000),M49*3%,M49*5%))))</f>
        <v>53.68</v>
      </c>
      <c r="M68" s="294">
        <f ca="1">ROUND(L68,1)</f>
        <v>53.7</v>
      </c>
      <c r="N68" s="2329"/>
      <c r="Z68" s="1623"/>
      <c r="AI68" s="1561"/>
    </row>
    <row r="69" spans="1:35" ht="16.5" customHeight="1">
      <c r="A69" s="1672"/>
      <c r="B69" s="1673"/>
      <c r="C69" s="1674"/>
      <c r="D69" s="1675"/>
      <c r="E69" s="1676"/>
      <c r="F69" s="1466"/>
      <c r="G69" s="1466"/>
      <c r="H69" s="1467"/>
      <c r="I69" s="646"/>
      <c r="J69" s="3362"/>
      <c r="K69" s="1245" t="s">
        <v>1393</v>
      </c>
      <c r="L69" s="1245"/>
      <c r="M69" s="294">
        <f ca="1">ROUND(SUM(M63:M68),0)</f>
        <v>100</v>
      </c>
      <c r="N69" s="2331">
        <f ca="1">M69/M49</f>
        <v>3.7257824143070044E-2</v>
      </c>
      <c r="Z69" s="1623"/>
      <c r="AI69" s="1561"/>
    </row>
    <row r="70" spans="1:35" s="642" customFormat="1" ht="14.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2556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6.000000000000001E-3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2541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1519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2556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64" t="s">
        <v>2129</v>
      </c>
      <c r="H90" s="336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2" t="s">
        <v>1422</v>
      </c>
      <c r="F92" s="3283"/>
      <c r="G92" s="3283"/>
      <c r="H92" s="329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6.000000000000001E-3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2541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1519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70" t="str">
        <f>C4</f>
        <v>比较法-商业</v>
      </c>
      <c r="D101" s="2371" t="str">
        <f>D4</f>
        <v>收益法 (元)</v>
      </c>
      <c r="E101" s="3359" t="s">
        <v>1431</v>
      </c>
      <c r="F101" s="3316"/>
      <c r="G101" s="1687" t="s">
        <v>1432</v>
      </c>
      <c r="H101" s="2380">
        <f ca="1">H118</f>
        <v>2684</v>
      </c>
      <c r="I101" s="121"/>
    </row>
    <row r="102" spans="1:35" ht="18.75" customHeight="1">
      <c r="A102" s="3318" t="s">
        <v>1433</v>
      </c>
      <c r="B102" s="2369" t="s">
        <v>1432</v>
      </c>
      <c r="C102" s="2370">
        <f ca="1">IF(D32="楼面单价",ROUND(C19,0),C19)</f>
        <v>3232</v>
      </c>
      <c r="D102" s="2371">
        <f ca="1">IF(D32="楼面单价",ROUND(D19,0),D19)</f>
        <v>1404</v>
      </c>
      <c r="E102" s="3359"/>
      <c r="F102" s="3316"/>
      <c r="G102" s="1687" t="s">
        <v>1434</v>
      </c>
      <c r="H102" s="2340">
        <f ca="1">I118</f>
        <v>40049</v>
      </c>
      <c r="I102" s="121"/>
    </row>
    <row r="103" spans="1:35" ht="42.75" customHeight="1">
      <c r="A103" s="3318"/>
      <c r="B103" s="2369" t="s">
        <v>1434</v>
      </c>
      <c r="C103" s="2372">
        <f ca="1">C20</f>
        <v>48234</v>
      </c>
      <c r="D103" s="2373">
        <f ca="1">D20</f>
        <v>20951</v>
      </c>
      <c r="E103" s="3353" t="s">
        <v>1435</v>
      </c>
      <c r="F103" s="3354"/>
      <c r="G103" s="1688" t="s">
        <v>1436</v>
      </c>
      <c r="H103" s="2380">
        <f>IF(D36="正常操作",H104+H105+H106,H105+H106)</f>
        <v>0</v>
      </c>
      <c r="I103" s="121"/>
    </row>
    <row r="104" spans="1:35" ht="18.75" customHeight="1">
      <c r="A104" s="3318" t="s">
        <v>1437</v>
      </c>
      <c r="B104" s="2374" t="s">
        <v>1432</v>
      </c>
      <c r="C104" s="2375">
        <f ca="1">H118</f>
        <v>2684</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40049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5" t="str">
        <f>IF(项目基本情况!E8="已注销","——","3.房地产抵押价值")</f>
        <v>3.房地产抵押价值</v>
      </c>
      <c r="F107" s="3316"/>
      <c r="G107" s="1687" t="s">
        <v>1432</v>
      </c>
      <c r="H107" s="2380">
        <f ca="1">IF(E107="——","——",H101-H103)</f>
        <v>2684</v>
      </c>
      <c r="I107" s="121"/>
    </row>
    <row r="108" spans="1:35" ht="18.75" customHeight="1">
      <c r="A108" s="121"/>
      <c r="B108" s="121"/>
      <c r="C108" s="121"/>
      <c r="D108" s="121"/>
      <c r="E108" s="3315"/>
      <c r="F108" s="3316"/>
      <c r="G108" s="1687" t="s">
        <v>1434</v>
      </c>
      <c r="H108" s="2340">
        <f ca="1">IF(H107=H101,H102,ROUND(H107*10000/'数据-汇总表'!E3,0))</f>
        <v>40049</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3" t="str">
        <f>IF(E109="——","——",H101-H105-H106)</f>
        <v>——</v>
      </c>
      <c r="I109" s="121"/>
    </row>
    <row r="110" spans="1:35" ht="18.75" customHeight="1">
      <c r="A110" s="121"/>
      <c r="B110" s="121"/>
      <c r="C110" s="121"/>
      <c r="D110" s="121"/>
      <c r="E110" s="3315"/>
      <c r="F110" s="3316"/>
      <c r="G110" s="1687" t="s">
        <v>1434</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80" t="str">
        <f>IF(E111="——","——",N59)</f>
        <v>——</v>
      </c>
      <c r="I111" s="121"/>
    </row>
    <row r="112" spans="1:35" ht="18.75" customHeight="1" thickBot="1">
      <c r="A112" s="121"/>
      <c r="B112" s="121"/>
      <c r="C112" s="121"/>
      <c r="D112" s="121"/>
      <c r="E112" s="3348"/>
      <c r="F112" s="3349"/>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50" t="s">
        <v>1449</v>
      </c>
      <c r="E117" s="2150" t="s">
        <v>1450</v>
      </c>
      <c r="F117" s="2150" t="s">
        <v>1449</v>
      </c>
      <c r="G117" s="2150" t="s">
        <v>1451</v>
      </c>
      <c r="H117" s="2150" t="s">
        <v>1449</v>
      </c>
      <c r="I117" s="2150" t="s">
        <v>1451</v>
      </c>
    </row>
    <row r="118" spans="1:27" ht="24.75" customHeight="1">
      <c r="A118" s="2385" t="str">
        <f>项目基本情况!S2</f>
        <v>北京市海淀区学府树家园7号楼7-1号~7-5号1至2层7-3房地产</v>
      </c>
      <c r="B118" s="2150">
        <f>M18</f>
        <v>670.08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2684</v>
      </c>
      <c r="I118" s="2150">
        <f ca="1">ROUND(IF(D32="楼面单价",C32,H118*10000/B118),0)</f>
        <v>40049</v>
      </c>
    </row>
    <row r="119" spans="1:27" ht="18.75" customHeight="1">
      <c r="A119" s="3286" t="s">
        <v>1452</v>
      </c>
      <c r="B119" s="3286"/>
      <c r="C119" s="3286"/>
      <c r="D119" s="3326" t="str">
        <f>NUMBERSTRING(INT(D118*10000),2)&amp;"元整"</f>
        <v>零元整</v>
      </c>
      <c r="E119" s="3328"/>
      <c r="F119" s="3326" t="str">
        <f>NUMBERSTRING(INT(F118*10000),2)&amp;"元整"</f>
        <v>零元整</v>
      </c>
      <c r="G119" s="3328"/>
      <c r="H119" s="3326" t="str">
        <f ca="1">NUMBERSTRING(INT(H118*10000),2)&amp;"元整"</f>
        <v>贰仟陆佰捌拾肆万元整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2684</v>
      </c>
      <c r="E122" s="3351"/>
      <c r="F122" s="3351"/>
      <c r="G122" s="3351"/>
      <c r="H122" s="3351"/>
      <c r="I122" s="3352"/>
      <c r="AA122" s="684"/>
    </row>
    <row r="123" spans="1:27" ht="18.75" customHeight="1">
      <c r="A123" s="3286" t="s">
        <v>1452</v>
      </c>
      <c r="B123" s="3286"/>
      <c r="C123" s="3286"/>
      <c r="D123" s="3326" t="str">
        <f ca="1">NUMBERSTRING(INT(D122*10000),2)&amp;"元整"</f>
        <v>贰仟陆佰捌拾肆万元整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4522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670.08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670.08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670.08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61</v>
      </c>
      <c r="D45" s="227">
        <f ca="1">C47</f>
        <v>4.0000000000000001E-3</v>
      </c>
      <c r="E45" s="228" t="s">
        <v>1539</v>
      </c>
      <c r="F45" s="238">
        <f ca="1">F27</f>
        <v>0.2</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407</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285</v>
      </c>
      <c r="D51" s="224"/>
      <c r="E51" s="224"/>
      <c r="F51" s="256"/>
      <c r="G51" s="226" t="s">
        <v>1560</v>
      </c>
    </row>
    <row r="52" spans="1:7" s="200" customFormat="1" ht="16.5" thickBot="1">
      <c r="A52" s="257" t="s">
        <v>1561</v>
      </c>
      <c r="B52" s="258"/>
      <c r="C52" s="259">
        <f ca="1">C31+C51</f>
        <v>303</v>
      </c>
      <c r="D52" s="258"/>
      <c r="E52" s="258"/>
      <c r="F52" s="258"/>
      <c r="G52" s="260"/>
    </row>
    <row r="55" spans="1:7" ht="15.5">
      <c r="B55" s="262" t="s">
        <v>1562</v>
      </c>
      <c r="C55" s="263"/>
    </row>
    <row r="56" spans="1:7" ht="13">
      <c r="B56" s="265" t="s">
        <v>802</v>
      </c>
      <c r="C56" s="267">
        <f ca="1">1-C57</f>
        <v>5.9000000000000052E-2</v>
      </c>
    </row>
    <row r="57" spans="1:7" ht="13">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北京市海淀区学府树家园7号楼7-1号~7-5号1至2层7-3房地产抵押价值预评估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323.65769999999998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4830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134016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134016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134016</v>
      </c>
      <c r="D10" s="795">
        <f ca="1">IF(B1="",'数据-汇总表'!E6,IF(INDIRECT("'数据-取费表'!c"&amp;$G$1)="住宅",INDIRECT("'数据-取费表'!s"&amp;$G$1),INDIRECT("'数据-取费表'!k"&amp;$G$1)+INDIRECT("'数据-取费表'!s"&amp;$G$1)))</f>
        <v>670.08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134016</v>
      </c>
      <c r="D19" s="204">
        <f ca="1">D9+D10</f>
        <v>670.08</v>
      </c>
      <c r="E19" s="203">
        <f>'数据-取费表'!B31</f>
        <v>200</v>
      </c>
      <c r="F19" s="223"/>
      <c r="G19" s="1714"/>
    </row>
    <row r="20" spans="1:7" s="206" customFormat="1" ht="13.5" customHeight="1">
      <c r="A20" s="247" t="s">
        <v>1574</v>
      </c>
      <c r="B20" s="202" t="s">
        <v>1575</v>
      </c>
      <c r="C20" s="224">
        <f ca="1">ROUND((C5+C19)*F20,0)</f>
        <v>5361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8521</v>
      </c>
      <c r="D24" s="230"/>
      <c r="E24" s="230"/>
      <c r="F24" s="231"/>
      <c r="G24" s="232" t="s">
        <v>1586</v>
      </c>
    </row>
    <row r="25" spans="1:7" s="206" customFormat="1" ht="26">
      <c r="A25" s="734" t="s">
        <v>1476</v>
      </c>
      <c r="B25" s="207" t="s">
        <v>1587</v>
      </c>
      <c r="C25" s="230">
        <f ca="1">ROUND(IF('数据-取费表'!B22&lt;=1,C20*F22*'数据-取费表'!B22/2,C20*(POWER((1+F22),'数据-取费表'!B22/2)-1)),0)</f>
        <v>168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54679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54679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374452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3001958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2680320</v>
      </c>
      <c r="D34" s="209"/>
      <c r="E34" s="212"/>
      <c r="F34" s="249"/>
      <c r="G34" s="211"/>
    </row>
    <row r="35" spans="1:7" ht="13.5" customHeight="1">
      <c r="A35" s="734" t="s">
        <v>351</v>
      </c>
      <c r="B35" s="207" t="s">
        <v>1527</v>
      </c>
      <c r="C35" s="212">
        <f ca="1">ROUND(C34*F35,0)</f>
        <v>134016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134016</v>
      </c>
      <c r="D37" s="209">
        <f ca="1">D19</f>
        <v>670.08</v>
      </c>
      <c r="E37" s="241">
        <f>'数据-取费表'!B35</f>
        <v>200</v>
      </c>
      <c r="F37" s="251"/>
      <c r="G37" s="253"/>
    </row>
    <row r="38" spans="1:7" ht="13.5" customHeight="1">
      <c r="A38" s="734" t="s">
        <v>354</v>
      </c>
      <c r="B38" s="207" t="s">
        <v>1533</v>
      </c>
      <c r="C38" s="212">
        <f ca="1">ROUND(C34*F38,0)</f>
        <v>53606</v>
      </c>
      <c r="D38" s="212"/>
      <c r="E38" s="212"/>
      <c r="F38" s="251">
        <f>'数据-取费表'!B36</f>
        <v>0.02</v>
      </c>
      <c r="G38" s="211" t="s">
        <v>1528</v>
      </c>
    </row>
    <row r="39" spans="1:7" s="206" customFormat="1" ht="13.5" customHeight="1">
      <c r="A39" s="247" t="s">
        <v>1534</v>
      </c>
      <c r="B39" s="202" t="s">
        <v>1535</v>
      </c>
      <c r="C39" s="224">
        <f ca="1">ROUND(C33*F20,0)</f>
        <v>60039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95840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93961</v>
      </c>
      <c r="D42" s="230"/>
      <c r="E42" s="230"/>
      <c r="F42" s="231"/>
      <c r="G42" s="3366" t="s">
        <v>1591</v>
      </c>
    </row>
    <row r="43" spans="1:7" ht="13.5" customHeight="1">
      <c r="A43" s="734" t="s">
        <v>347</v>
      </c>
      <c r="B43" s="207" t="s">
        <v>1545</v>
      </c>
      <c r="C43" s="230">
        <f ca="1">ROUND(IF('数据-取费表'!B22&lt;=1,C39*F22*'数据-取费表'!B20/2,C39*(POWER((1+F22),'数据-取费表'!B20/2)-1)),0)</f>
        <v>1879</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612399</v>
      </c>
      <c r="D45" s="227">
        <f ca="1">C47</f>
        <v>4.0000000000000001E-3</v>
      </c>
      <c r="E45" s="228" t="s">
        <v>1539</v>
      </c>
      <c r="F45" s="238">
        <f ca="1">F27</f>
        <v>0.2</v>
      </c>
      <c r="G45" s="239" t="s">
        <v>1548</v>
      </c>
    </row>
    <row r="46" spans="1:7" s="206" customFormat="1" ht="13.5" customHeight="1">
      <c r="A46" s="734" t="s">
        <v>346</v>
      </c>
      <c r="B46" s="240" t="s">
        <v>1549</v>
      </c>
      <c r="C46" s="241">
        <f ca="1">ROUND((C33+C39)*F27,0)</f>
        <v>612399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4088750</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2862125</v>
      </c>
      <c r="D51" s="224"/>
      <c r="E51" s="224"/>
      <c r="F51" s="256"/>
      <c r="G51" s="226" t="s">
        <v>1560</v>
      </c>
    </row>
    <row r="52" spans="1:7" s="200" customFormat="1" ht="16.5" thickBot="1">
      <c r="A52" s="257" t="s">
        <v>1561</v>
      </c>
      <c r="B52" s="258"/>
      <c r="C52" s="259">
        <f ca="1">C31+C51</f>
        <v>3236577</v>
      </c>
      <c r="D52" s="258"/>
      <c r="E52" s="258"/>
      <c r="F52" s="258"/>
      <c r="G52" s="260"/>
    </row>
    <row r="55" spans="1:7" ht="15.5">
      <c r="B55" s="262" t="s">
        <v>1562</v>
      </c>
      <c r="C55" s="263"/>
    </row>
    <row r="56" spans="1:7" ht="13">
      <c r="B56" s="265" t="s">
        <v>802</v>
      </c>
      <c r="C56" s="267">
        <f ca="1">1-C57</f>
        <v>0.11599999999999999</v>
      </c>
    </row>
    <row r="57" spans="1:7" ht="13">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-16</v>
      </c>
      <c r="C2" s="268" t="s">
        <v>1595</v>
      </c>
      <c r="D2" s="268"/>
      <c r="E2" s="2566"/>
      <c r="F2" s="2566"/>
      <c r="G2" s="2566"/>
      <c r="H2" s="2566"/>
      <c r="I2" s="2566"/>
      <c r="J2" s="2566"/>
      <c r="K2" s="2566"/>
    </row>
    <row r="3" spans="1:33" ht="18" customHeight="1" thickBot="1">
      <c r="A3" s="195" t="s">
        <v>1464</v>
      </c>
      <c r="B3" s="196">
        <f ca="1">ROUND(B2*10000/IF(C1="",'数据-汇总表'!E3,INDIRECT("'数据-取费表'!K"&amp;$K$1)),0)</f>
        <v>-239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670.08</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80" t="s">
        <v>2317</v>
      </c>
      <c r="K2" s="3381"/>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82" t="s">
        <v>2327</v>
      </c>
      <c r="K3" s="3383"/>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82" t="s">
        <v>2329</v>
      </c>
      <c r="K4" s="3383"/>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88" t="s">
        <v>2333</v>
      </c>
      <c r="B6" s="3389"/>
      <c r="C6" s="3390"/>
      <c r="D6" s="2620"/>
      <c r="E6" s="2621"/>
      <c r="F6" s="2622"/>
      <c r="G6" s="2623"/>
      <c r="H6" s="2598"/>
      <c r="I6" s="2599"/>
      <c r="J6" s="3374">
        <v>1</v>
      </c>
      <c r="K6" s="337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4"/>
      <c r="K7" s="3376"/>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1" t="s">
        <v>2347</v>
      </c>
      <c r="C8" s="3392"/>
      <c r="D8" s="2639" t="s">
        <v>2348</v>
      </c>
      <c r="E8" s="2640" t="s">
        <v>2349</v>
      </c>
      <c r="F8" s="2641" t="s">
        <v>2350</v>
      </c>
      <c r="G8" s="2642"/>
      <c r="H8" s="2598"/>
      <c r="I8" s="2599"/>
      <c r="J8" s="3374"/>
      <c r="K8" s="3376"/>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1" t="s">
        <v>2353</v>
      </c>
      <c r="C9" s="3392"/>
      <c r="D9" s="2639">
        <f>ROUND(D6*E9,0)</f>
        <v>0</v>
      </c>
      <c r="E9" s="2643"/>
      <c r="F9" s="2644" t="s">
        <v>2354</v>
      </c>
      <c r="G9" s="2623"/>
      <c r="H9" s="2598"/>
      <c r="I9" s="2599"/>
      <c r="J9" s="3374"/>
      <c r="K9" s="3376"/>
      <c r="L9" s="2633" t="s">
        <v>2355</v>
      </c>
      <c r="M9" s="2634"/>
      <c r="N9" s="2610"/>
      <c r="O9" s="2635"/>
      <c r="P9" s="2635"/>
      <c r="Q9" s="2636">
        <v>365</v>
      </c>
      <c r="R9" s="2637">
        <f t="shared" si="0"/>
        <v>0</v>
      </c>
      <c r="S9" s="2591"/>
      <c r="T9" s="2591"/>
      <c r="U9" s="2591"/>
      <c r="V9" s="2599"/>
    </row>
    <row r="10" spans="1:22" s="2603" customFormat="1" ht="13.15" customHeight="1">
      <c r="A10" s="2638">
        <v>2</v>
      </c>
      <c r="B10" s="3391" t="s">
        <v>2356</v>
      </c>
      <c r="C10" s="3392"/>
      <c r="D10" s="2639">
        <f>ROUND(D6*E10,0)</f>
        <v>0</v>
      </c>
      <c r="E10" s="2643"/>
      <c r="F10" s="2644" t="s">
        <v>2357</v>
      </c>
      <c r="G10" s="2623"/>
      <c r="H10" s="2598"/>
      <c r="I10" s="2599"/>
      <c r="J10" s="3374"/>
      <c r="K10" s="3376"/>
      <c r="L10" s="2633" t="s">
        <v>2358</v>
      </c>
      <c r="M10" s="2634"/>
      <c r="N10" s="2610"/>
      <c r="O10" s="2635"/>
      <c r="P10" s="2635"/>
      <c r="Q10" s="2636">
        <v>365</v>
      </c>
      <c r="R10" s="2637">
        <f t="shared" si="0"/>
        <v>0</v>
      </c>
      <c r="S10" s="2591"/>
      <c r="T10" s="2591"/>
      <c r="U10" s="2591"/>
      <c r="V10" s="2599"/>
    </row>
    <row r="11" spans="1:22" s="2603" customFormat="1" ht="13.15" customHeight="1">
      <c r="A11" s="2638">
        <v>3</v>
      </c>
      <c r="B11" s="3391" t="s">
        <v>2359</v>
      </c>
      <c r="C11" s="3392"/>
      <c r="D11" s="2639">
        <f>D12+D14+D15+D16</f>
        <v>0</v>
      </c>
      <c r="E11" s="2645" t="e">
        <f>D11/D6</f>
        <v>#DIV/0!</v>
      </c>
      <c r="F11" s="2641"/>
      <c r="G11" s="2642"/>
      <c r="H11" s="2598"/>
      <c r="I11" s="2599"/>
      <c r="J11" s="3374"/>
      <c r="K11" s="3376"/>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4" t="s">
        <v>2362</v>
      </c>
      <c r="C12" s="3385"/>
      <c r="D12" s="2647">
        <f>ROUND(D13*1.2%*(1-30%),0)</f>
        <v>0</v>
      </c>
      <c r="E12" s="2648">
        <v>1.2E-2</v>
      </c>
      <c r="F12" s="2641" t="s">
        <v>2363</v>
      </c>
      <c r="G12" s="2642"/>
      <c r="H12" s="2598"/>
      <c r="I12" s="2599"/>
      <c r="J12" s="3374"/>
      <c r="K12" s="3376"/>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4"/>
      <c r="K13" s="3376"/>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4" t="s">
        <v>2368</v>
      </c>
      <c r="C14" s="3385"/>
      <c r="D14" s="2647">
        <f>ROUND(E14*B5/10000,0)</f>
        <v>0</v>
      </c>
      <c r="E14" s="2636"/>
      <c r="F14" s="2641" t="s">
        <v>2369</v>
      </c>
      <c r="G14" s="2642"/>
      <c r="H14" s="2598"/>
      <c r="I14" s="2599"/>
      <c r="J14" s="3374"/>
      <c r="K14" s="337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4" t="s">
        <v>2372</v>
      </c>
      <c r="C15" s="3385"/>
      <c r="D15" s="2647">
        <f>ROUND(D6*E15,0)</f>
        <v>0</v>
      </c>
      <c r="E15" s="2648">
        <v>5.5E-2</v>
      </c>
      <c r="F15" s="2641" t="s">
        <v>2373</v>
      </c>
      <c r="G15" s="2623"/>
      <c r="H15" s="2598"/>
      <c r="I15" s="2599"/>
      <c r="J15" s="3374">
        <v>2</v>
      </c>
      <c r="K15" s="337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4" t="s">
        <v>2381</v>
      </c>
      <c r="C16" s="3385"/>
      <c r="D16" s="2658">
        <f>D6*E16</f>
        <v>0</v>
      </c>
      <c r="E16" s="2659"/>
      <c r="F16" s="2644" t="s">
        <v>2382</v>
      </c>
      <c r="G16" s="2623"/>
      <c r="H16" s="2598"/>
      <c r="I16" s="2599"/>
      <c r="J16" s="3374"/>
      <c r="K16" s="3376"/>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6" t="s">
        <v>2384</v>
      </c>
      <c r="C17" s="3387"/>
      <c r="D17" s="2661">
        <f>ROUND(D6*E17,0)</f>
        <v>0</v>
      </c>
      <c r="E17" s="2662"/>
      <c r="F17" s="2663" t="s">
        <v>2385</v>
      </c>
      <c r="G17" s="2623"/>
      <c r="H17" s="2598"/>
      <c r="I17" s="2599"/>
      <c r="J17" s="3374"/>
      <c r="K17" s="3376"/>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4"/>
      <c r="K18" s="3376"/>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4"/>
      <c r="K19" s="337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4">
        <v>3</v>
      </c>
      <c r="K20" s="337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4"/>
      <c r="K21" s="3376"/>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4"/>
      <c r="K22" s="3376"/>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4"/>
      <c r="K23" s="3376"/>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4"/>
      <c r="K24" s="337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7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7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0" t="s">
        <v>2317</v>
      </c>
      <c r="K32" s="3381"/>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82" t="s">
        <v>2327</v>
      </c>
      <c r="K33" s="3383"/>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82" t="s">
        <v>2329</v>
      </c>
      <c r="K34" s="338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4">
        <v>1</v>
      </c>
      <c r="K36" s="3375"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4"/>
      <c r="K40" s="3377"/>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8">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7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1403.8623</v>
      </c>
      <c r="C2" s="1729" t="s">
        <v>1651</v>
      </c>
      <c r="D2" s="1730" t="s">
        <v>1652</v>
      </c>
      <c r="E2" s="2392">
        <f>SUM(E6:E13)</f>
        <v>670.08</v>
      </c>
      <c r="F2" s="2478"/>
      <c r="G2" s="459"/>
      <c r="H2" s="459"/>
      <c r="I2" s="459"/>
      <c r="J2" s="459"/>
      <c r="K2" s="459"/>
      <c r="L2" s="459"/>
      <c r="M2" s="459"/>
      <c r="N2" s="459"/>
      <c r="O2" s="459"/>
      <c r="P2" s="459"/>
      <c r="Q2" s="459"/>
      <c r="R2" s="459"/>
      <c r="S2" s="459"/>
    </row>
    <row r="3" spans="1:22" ht="15.5">
      <c r="A3" s="1728" t="s">
        <v>686</v>
      </c>
      <c r="B3" s="2386">
        <f ca="1">ROUND(B2*10000/E2,0)</f>
        <v>20951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93" t="s">
        <v>1654</v>
      </c>
      <c r="C5" s="339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1403.8623</v>
      </c>
      <c r="C6" s="1729" t="s">
        <v>1651</v>
      </c>
      <c r="D6" s="2478"/>
      <c r="E6" s="2391">
        <f>IF(OR(A6=0,F6="否"),0,'数据-取费表'!K6+'数据-取费表'!S6)</f>
        <v>670.08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670.08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13" t="s">
        <v>1667</v>
      </c>
      <c r="D4" s="3414"/>
      <c r="E4" s="3415" t="s">
        <v>1668</v>
      </c>
      <c r="F4" s="3416"/>
      <c r="G4" s="3413" t="s">
        <v>1669</v>
      </c>
      <c r="H4" s="3414"/>
      <c r="I4" s="3413" t="s">
        <v>1670</v>
      </c>
      <c r="J4" s="3414"/>
      <c r="K4" s="1744" t="s">
        <v>1671</v>
      </c>
      <c r="L4" s="2485"/>
      <c r="M4" s="2486"/>
      <c r="N4" s="2486"/>
      <c r="O4" s="2486"/>
      <c r="P4" s="3417" t="s">
        <v>1672</v>
      </c>
      <c r="Q4" s="3418"/>
      <c r="R4" s="3423" t="s">
        <v>1668</v>
      </c>
      <c r="S4" s="3424"/>
      <c r="T4" s="3423" t="s">
        <v>1669</v>
      </c>
      <c r="U4" s="3424"/>
      <c r="V4" s="3399" t="s">
        <v>1670</v>
      </c>
      <c r="W4" s="3399"/>
      <c r="X4" s="1265"/>
      <c r="Y4" s="3423" t="s">
        <v>1672</v>
      </c>
      <c r="Z4" s="3424"/>
      <c r="AA4" s="3410" t="s">
        <v>1668</v>
      </c>
      <c r="AB4" s="3410" t="s">
        <v>1669</v>
      </c>
      <c r="AC4" s="3410" t="s">
        <v>1670</v>
      </c>
    </row>
    <row r="5" spans="1:29">
      <c r="A5" s="348"/>
      <c r="B5" s="349"/>
      <c r="C5" s="3431" t="s">
        <v>1673</v>
      </c>
      <c r="D5" s="3432"/>
      <c r="E5" s="3438" t="s">
        <v>1674</v>
      </c>
      <c r="F5" s="3439"/>
      <c r="G5" s="3431" t="s">
        <v>1675</v>
      </c>
      <c r="H5" s="3432"/>
      <c r="I5" s="3431" t="s">
        <v>1676</v>
      </c>
      <c r="J5" s="3432"/>
      <c r="K5" s="1745"/>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1745"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3" t="s">
        <v>1680</v>
      </c>
      <c r="Q7" s="3435"/>
      <c r="R7" s="664" t="s">
        <v>20</v>
      </c>
      <c r="S7" s="665">
        <f t="shared" ref="S7:S15" si="0">F7</f>
        <v>0</v>
      </c>
      <c r="T7" s="664" t="s">
        <v>20</v>
      </c>
      <c r="U7" s="665">
        <f t="shared" ref="U7:U15" si="1">H7</f>
        <v>0</v>
      </c>
      <c r="V7" s="664" t="s">
        <v>20</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9"/>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7"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8"/>
      <c r="Q16" s="1263"/>
      <c r="R16" s="667"/>
      <c r="S16" s="668"/>
      <c r="T16" s="667"/>
      <c r="U16" s="668"/>
      <c r="V16" s="667"/>
      <c r="W16" s="668"/>
      <c r="X16" s="1265"/>
      <c r="Y16" s="340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8"/>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8"/>
      <c r="Q18" s="1263"/>
      <c r="R18" s="667"/>
      <c r="S18" s="668"/>
      <c r="T18" s="667"/>
      <c r="U18" s="668"/>
      <c r="V18" s="667"/>
      <c r="W18" s="668"/>
      <c r="X18" s="1265"/>
      <c r="Y18" s="3401"/>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8"/>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8"/>
      <c r="Q20" s="1263"/>
      <c r="R20" s="667"/>
      <c r="S20" s="668"/>
      <c r="T20" s="667"/>
      <c r="U20" s="668"/>
      <c r="V20" s="667"/>
      <c r="W20" s="668"/>
      <c r="X20" s="1265"/>
      <c r="Y20" s="3401"/>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8"/>
      <c r="Q22" s="1263"/>
      <c r="R22" s="667"/>
      <c r="S22" s="668"/>
      <c r="T22" s="667"/>
      <c r="U22" s="668"/>
      <c r="V22" s="667"/>
      <c r="W22" s="668"/>
      <c r="X22" s="1265"/>
      <c r="Y22" s="3401"/>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8"/>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8"/>
      <c r="Q24" s="1263"/>
      <c r="R24" s="667"/>
      <c r="S24" s="668"/>
      <c r="T24" s="667"/>
      <c r="U24" s="668"/>
      <c r="V24" s="667"/>
      <c r="W24" s="668"/>
      <c r="X24" s="1265"/>
      <c r="Y24" s="3401"/>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8"/>
      <c r="Q26" s="1263" t="str">
        <f t="shared" si="11"/>
        <v>朝向</v>
      </c>
      <c r="R26" s="667" t="s">
        <v>18</v>
      </c>
      <c r="S26" s="668">
        <f t="shared" si="12"/>
        <v>100</v>
      </c>
      <c r="T26" s="667" t="s">
        <v>18</v>
      </c>
      <c r="U26" s="668">
        <f t="shared" si="13"/>
        <v>100</v>
      </c>
      <c r="V26" s="667" t="s">
        <v>18</v>
      </c>
      <c r="W26" s="668">
        <f t="shared" si="14"/>
        <v>100</v>
      </c>
      <c r="X26" s="1265"/>
      <c r="Y26" s="340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8"/>
      <c r="Q27" s="530">
        <f t="shared" si="11"/>
        <v>111</v>
      </c>
      <c r="R27" s="664" t="s">
        <v>18</v>
      </c>
      <c r="S27" s="665">
        <f t="shared" si="12"/>
        <v>100</v>
      </c>
      <c r="T27" s="664" t="s">
        <v>18</v>
      </c>
      <c r="U27" s="665">
        <f t="shared" si="13"/>
        <v>100</v>
      </c>
      <c r="V27" s="664" t="s">
        <v>18</v>
      </c>
      <c r="W27" s="665">
        <f t="shared" si="14"/>
        <v>100</v>
      </c>
      <c r="X27" s="666"/>
      <c r="Y27" s="340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8"/>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8"/>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8"/>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8"/>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3"/>
      <c r="Q33" s="531" t="str">
        <f t="shared" si="11"/>
        <v>项目建筑规模</v>
      </c>
      <c r="R33" s="669" t="s">
        <v>18</v>
      </c>
      <c r="S33" s="670" t="e">
        <f t="shared" si="12"/>
        <v>#N/A</v>
      </c>
      <c r="T33" s="669" t="s">
        <v>18</v>
      </c>
      <c r="U33" s="670" t="e">
        <f t="shared" si="13"/>
        <v>#N/A</v>
      </c>
      <c r="V33" s="669" t="s">
        <v>18</v>
      </c>
      <c r="W33" s="670" t="e">
        <f t="shared" si="14"/>
        <v>#N/A</v>
      </c>
      <c r="X33" s="671"/>
      <c r="Y33" s="3405"/>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3"/>
      <c r="Q37" s="530" t="str">
        <f t="shared" si="11"/>
        <v>成新度</v>
      </c>
      <c r="R37" s="664" t="s">
        <v>18</v>
      </c>
      <c r="S37" s="665" t="e">
        <f t="shared" si="12"/>
        <v>#N/A</v>
      </c>
      <c r="T37" s="664" t="s">
        <v>18</v>
      </c>
      <c r="U37" s="665" t="e">
        <f t="shared" si="13"/>
        <v>#N/A</v>
      </c>
      <c r="V37" s="664" t="s">
        <v>18</v>
      </c>
      <c r="W37" s="665" t="e">
        <f t="shared" si="14"/>
        <v>#N/A</v>
      </c>
      <c r="X37" s="666"/>
      <c r="Y37" s="3405"/>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670.08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46" t="s">
        <v>1775</v>
      </c>
      <c r="Q4" s="3447"/>
      <c r="R4" s="3450" t="s">
        <v>1771</v>
      </c>
      <c r="S4" s="3451"/>
      <c r="T4" s="3450" t="s">
        <v>1772</v>
      </c>
      <c r="U4" s="3451"/>
      <c r="V4" s="3452" t="s">
        <v>1773</v>
      </c>
      <c r="W4" s="3452"/>
      <c r="X4" s="1809"/>
      <c r="Y4" s="3450" t="s">
        <v>1775</v>
      </c>
      <c r="Z4" s="3451"/>
      <c r="AA4" s="3454" t="s">
        <v>1771</v>
      </c>
      <c r="AB4" s="3454" t="s">
        <v>1772</v>
      </c>
      <c r="AC4" s="3443" t="s">
        <v>1773</v>
      </c>
    </row>
    <row r="5" spans="1:29">
      <c r="A5" s="348"/>
      <c r="B5" s="349"/>
      <c r="C5" s="3431" t="s">
        <v>1673</v>
      </c>
      <c r="D5" s="3432"/>
      <c r="E5" s="3438" t="s">
        <v>1674</v>
      </c>
      <c r="F5" s="3439"/>
      <c r="G5" s="3431" t="s">
        <v>1675</v>
      </c>
      <c r="H5" s="3432"/>
      <c r="I5" s="3431" t="s">
        <v>1676</v>
      </c>
      <c r="J5" s="3432"/>
      <c r="K5" s="537"/>
      <c r="L5" s="2485"/>
      <c r="M5" s="2486"/>
      <c r="N5" s="2486"/>
      <c r="O5" s="2486"/>
      <c r="P5" s="3448"/>
      <c r="Q5" s="3420"/>
      <c r="R5" s="3425"/>
      <c r="S5" s="3426"/>
      <c r="T5" s="3425"/>
      <c r="U5" s="3426"/>
      <c r="V5" s="3399"/>
      <c r="W5" s="3399"/>
      <c r="X5" s="1265"/>
      <c r="Y5" s="3425"/>
      <c r="Z5" s="3426"/>
      <c r="AA5" s="3411"/>
      <c r="AB5" s="3411"/>
      <c r="AC5" s="3444"/>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49"/>
      <c r="Q6" s="3422"/>
      <c r="R6" s="3425"/>
      <c r="S6" s="3426"/>
      <c r="T6" s="3427"/>
      <c r="U6" s="3428"/>
      <c r="V6" s="3399"/>
      <c r="W6" s="3399"/>
      <c r="X6" s="1265"/>
      <c r="Y6" s="3427"/>
      <c r="Z6" s="3428"/>
      <c r="AA6" s="3412"/>
      <c r="AB6" s="3412"/>
      <c r="AC6" s="3445"/>
    </row>
    <row r="7" spans="1:29" s="102" customFormat="1" ht="14.5" thickBot="1">
      <c r="A7" s="352" t="s">
        <v>1679</v>
      </c>
      <c r="B7" s="353"/>
      <c r="C7" s="354">
        <f>'数据-取费表'!B2</f>
        <v>45964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434"/>
      <c r="R8" s="664" t="s">
        <v>14</v>
      </c>
      <c r="S8" s="665">
        <f t="shared" si="0"/>
        <v>100</v>
      </c>
      <c r="T8" s="664" t="s">
        <v>14</v>
      </c>
      <c r="U8" s="665">
        <f t="shared" si="1"/>
        <v>100</v>
      </c>
      <c r="V8" s="664" t="s">
        <v>14</v>
      </c>
      <c r="W8" s="665">
        <f t="shared" si="2"/>
        <v>100</v>
      </c>
      <c r="X8" s="666"/>
      <c r="Y8" s="3433" t="s">
        <v>1683</v>
      </c>
      <c r="Z8" s="343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7"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8"/>
      <c r="Q16" s="1263"/>
      <c r="R16" s="667"/>
      <c r="S16" s="668"/>
      <c r="T16" s="667"/>
      <c r="U16" s="668"/>
      <c r="V16" s="667"/>
      <c r="W16" s="668"/>
      <c r="X16" s="1265"/>
      <c r="Y16" s="3401"/>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8"/>
      <c r="Q18" s="1263"/>
      <c r="R18" s="667"/>
      <c r="S18" s="668"/>
      <c r="T18" s="667"/>
      <c r="U18" s="668"/>
      <c r="V18" s="667"/>
      <c r="W18" s="668"/>
      <c r="X18" s="1265"/>
      <c r="Y18" s="3401"/>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8"/>
      <c r="Q20" s="1263"/>
      <c r="R20" s="667"/>
      <c r="S20" s="668"/>
      <c r="T20" s="667"/>
      <c r="U20" s="668"/>
      <c r="V20" s="667"/>
      <c r="W20" s="668"/>
      <c r="X20" s="1265"/>
      <c r="Y20" s="3401"/>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8"/>
      <c r="Q22" s="1263"/>
      <c r="R22" s="667"/>
      <c r="S22" s="668"/>
      <c r="T22" s="667"/>
      <c r="U22" s="668"/>
      <c r="V22" s="667"/>
      <c r="W22" s="668"/>
      <c r="X22" s="1265"/>
      <c r="Y22" s="3401"/>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8"/>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8"/>
      <c r="Q24" s="1263"/>
      <c r="R24" s="667"/>
      <c r="S24" s="668"/>
      <c r="T24" s="667"/>
      <c r="U24" s="668"/>
      <c r="V24" s="667"/>
      <c r="W24" s="668"/>
      <c r="X24" s="1265"/>
      <c r="Y24" s="3401"/>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8"/>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8"/>
      <c r="Q26" s="1263"/>
      <c r="R26" s="667"/>
      <c r="S26" s="668"/>
      <c r="T26" s="667"/>
      <c r="U26" s="668"/>
      <c r="V26" s="667"/>
      <c r="W26" s="668"/>
      <c r="X26" s="1265"/>
      <c r="Y26" s="3401"/>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8"/>
      <c r="Q27" s="1263" t="str">
        <f t="shared" ref="Q27:Q47" si="11">B27</f>
        <v>楼层</v>
      </c>
      <c r="R27" s="667" t="s">
        <v>14</v>
      </c>
      <c r="S27" s="668">
        <f>F27</f>
        <v>100</v>
      </c>
      <c r="T27" s="667" t="s">
        <v>14</v>
      </c>
      <c r="U27" s="668">
        <f>H27</f>
        <v>100</v>
      </c>
      <c r="V27" s="667" t="s">
        <v>14</v>
      </c>
      <c r="W27" s="668">
        <f>J27</f>
        <v>100</v>
      </c>
      <c r="X27" s="1265"/>
      <c r="Y27" s="3401"/>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8"/>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8"/>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2"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3"/>
      <c r="Q34" s="531" t="str">
        <f t="shared" si="11"/>
        <v>项目建筑规模</v>
      </c>
      <c r="R34" s="669" t="s">
        <v>14</v>
      </c>
      <c r="S34" s="670" t="e">
        <f t="shared" si="12"/>
        <v>#N/A</v>
      </c>
      <c r="T34" s="669" t="s">
        <v>14</v>
      </c>
      <c r="U34" s="670" t="e">
        <f t="shared" si="13"/>
        <v>#N/A</v>
      </c>
      <c r="V34" s="669" t="s">
        <v>14</v>
      </c>
      <c r="W34" s="670" t="e">
        <f t="shared" si="14"/>
        <v>#N/A</v>
      </c>
      <c r="X34" s="671"/>
      <c r="Y34" s="3405"/>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3"/>
      <c r="Q37" s="1263" t="str">
        <f t="shared" si="11"/>
        <v>成新度</v>
      </c>
      <c r="R37" s="667" t="s">
        <v>14</v>
      </c>
      <c r="S37" s="668" t="e">
        <f t="shared" si="12"/>
        <v>#N/A</v>
      </c>
      <c r="T37" s="667" t="s">
        <v>14</v>
      </c>
      <c r="U37" s="668" t="e">
        <f t="shared" si="13"/>
        <v>#N/A</v>
      </c>
      <c r="V37" s="667" t="s">
        <v>14</v>
      </c>
      <c r="W37" s="668" t="e">
        <f t="shared" si="14"/>
        <v>#N/A</v>
      </c>
      <c r="X37" s="1265"/>
      <c r="Y37" s="3405"/>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09" t="str">
        <f>A48</f>
        <v>成交单价（元/平方米）</v>
      </c>
      <c r="Q48" s="3398"/>
      <c r="R48" s="3399">
        <f>E48</f>
        <v>0</v>
      </c>
      <c r="S48" s="3399"/>
      <c r="T48" s="3399">
        <f>G48</f>
        <v>0</v>
      </c>
      <c r="U48" s="3399"/>
      <c r="V48" s="3399">
        <f>I48</f>
        <v>0</v>
      </c>
      <c r="W48" s="3399"/>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9"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860"/>
      <c r="M5" s="861"/>
      <c r="N5" s="861"/>
      <c r="O5" s="861"/>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860"/>
      <c r="M6" s="861"/>
      <c r="N6" s="861"/>
      <c r="O6" s="861"/>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SUMIF(52:52,YEAR(E7)&amp;"-"&amp;MONTH(E7),53:53)</f>
        <v>0</v>
      </c>
      <c r="G7" s="356"/>
      <c r="H7" s="355">
        <f>SUMIF(52:52,YEAR(G7)&amp;"-"&amp;MONTH(G7),53:53)</f>
        <v>0</v>
      </c>
      <c r="I7" s="356"/>
      <c r="J7" s="355">
        <f>SUMIF(52:52,YEAR(I7)&amp;"-"&amp;MONTH(I7),53:53)</f>
        <v>0</v>
      </c>
      <c r="K7" s="38"/>
      <c r="L7" s="862"/>
      <c r="M7" s="863"/>
      <c r="N7" s="863"/>
      <c r="O7" s="863"/>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8" t="str">
        <f>A41</f>
        <v>成交单价（元/平方米）</v>
      </c>
      <c r="Q41" s="3398"/>
      <c r="R41" s="3399">
        <f>E41</f>
        <v>0</v>
      </c>
      <c r="S41" s="3399"/>
      <c r="T41" s="3399">
        <f>G41</f>
        <v>0</v>
      </c>
      <c r="U41" s="3399"/>
      <c r="V41" s="3399">
        <f>I41</f>
        <v>0</v>
      </c>
      <c r="W41" s="339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1"/>
      <c r="Q15" s="1263"/>
      <c r="R15" s="667"/>
      <c r="S15" s="668"/>
      <c r="T15" s="667"/>
      <c r="U15" s="668"/>
      <c r="V15" s="667"/>
      <c r="W15" s="668"/>
      <c r="X15" s="1265"/>
      <c r="Y15" s="3401"/>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1"/>
      <c r="Q17" s="1263"/>
      <c r="R17" s="667"/>
      <c r="S17" s="668"/>
      <c r="T17" s="667"/>
      <c r="U17" s="668"/>
      <c r="V17" s="667"/>
      <c r="W17" s="668"/>
      <c r="X17" s="1265"/>
      <c r="Y17" s="3401"/>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1"/>
      <c r="Q19" s="1263"/>
      <c r="R19" s="667"/>
      <c r="S19" s="668"/>
      <c r="T19" s="667"/>
      <c r="U19" s="668"/>
      <c r="V19" s="667"/>
      <c r="W19" s="668"/>
      <c r="X19" s="1265"/>
      <c r="Y19" s="3401"/>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1"/>
      <c r="Q21" s="1263"/>
      <c r="R21" s="667"/>
      <c r="S21" s="668"/>
      <c r="T21" s="667"/>
      <c r="U21" s="668"/>
      <c r="V21" s="667"/>
      <c r="W21" s="668"/>
      <c r="X21" s="1265"/>
      <c r="Y21" s="3401"/>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98" t="str">
        <f>A37</f>
        <v>成交单价</v>
      </c>
      <c r="Q37" s="3398"/>
      <c r="R37" s="3399">
        <f>E37</f>
        <v>0</v>
      </c>
      <c r="S37" s="3399"/>
      <c r="T37" s="3399">
        <f>G37</f>
        <v>0</v>
      </c>
      <c r="U37" s="3399"/>
      <c r="V37" s="3399">
        <f>I37</f>
        <v>0</v>
      </c>
      <c r="W37" s="339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95" t="str">
        <f>A39</f>
        <v>估价对象XX用房的比较价值（楼面单价，元/平方米）</v>
      </c>
      <c r="Q39" s="3396"/>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1"/>
      <c r="Q15" s="1263"/>
      <c r="R15" s="667"/>
      <c r="S15" s="668"/>
      <c r="T15" s="667"/>
      <c r="U15" s="668"/>
      <c r="V15" s="667"/>
      <c r="W15" s="668"/>
      <c r="X15" s="1265"/>
      <c r="Y15" s="3401"/>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1"/>
      <c r="Q17" s="1263"/>
      <c r="R17" s="667"/>
      <c r="S17" s="668"/>
      <c r="T17" s="667"/>
      <c r="U17" s="668"/>
      <c r="V17" s="667"/>
      <c r="W17" s="668"/>
      <c r="X17" s="1265"/>
      <c r="Y17" s="3401"/>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1"/>
      <c r="Q19" s="1263"/>
      <c r="R19" s="667"/>
      <c r="S19" s="668"/>
      <c r="T19" s="667"/>
      <c r="U19" s="668"/>
      <c r="V19" s="667"/>
      <c r="W19" s="668"/>
      <c r="X19" s="1265"/>
      <c r="Y19" s="3401"/>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1"/>
      <c r="Q21" s="1263"/>
      <c r="R21" s="667"/>
      <c r="S21" s="668"/>
      <c r="T21" s="667"/>
      <c r="U21" s="668"/>
      <c r="V21" s="667"/>
      <c r="W21" s="668"/>
      <c r="X21" s="1265"/>
      <c r="Y21" s="3401"/>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95" t="str">
        <f>A37</f>
        <v>估价对象XX用房的比较价值（楼面单价，元/平方米）</v>
      </c>
      <c r="Q37" s="3396"/>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受贵公司委托，我公司对北京市海淀区学府树家园7号楼7-1号~7-5号1至2层7-3房地产抵押价值进行了预评估。</v>
      </c>
    </row>
    <row r="5" spans="1:1" ht="18">
      <c r="A5" s="1383" t="s">
        <v>899</v>
      </c>
    </row>
    <row r="6" spans="1:1" ht="17.5">
      <c r="A6" s="1384" t="s">
        <v>900</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2025年11月3日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138</v>
      </c>
      <c r="G10" s="402"/>
      <c r="H10" s="119">
        <f>ROUND(100/'数据-取费表'!G16,0)</f>
        <v>138</v>
      </c>
      <c r="I10" s="402"/>
      <c r="J10" s="119">
        <f>ROUND(100/'数据-取费表'!G16,0)</f>
        <v>138</v>
      </c>
      <c r="K10" s="592"/>
      <c r="L10" s="2488"/>
      <c r="M10" s="2489"/>
      <c r="N10" s="2489"/>
      <c r="O10" s="2540"/>
      <c r="P10" s="3398"/>
      <c r="Q10" s="530" t="str">
        <f t="shared" si="6"/>
        <v>土地使用年限（年）</v>
      </c>
      <c r="R10" s="664" t="s">
        <v>14</v>
      </c>
      <c r="S10" s="665">
        <f t="shared" si="0"/>
        <v>138</v>
      </c>
      <c r="T10" s="664" t="s">
        <v>14</v>
      </c>
      <c r="U10" s="665">
        <f t="shared" si="1"/>
        <v>138</v>
      </c>
      <c r="V10" s="664" t="s">
        <v>14</v>
      </c>
      <c r="W10" s="665">
        <f t="shared" si="2"/>
        <v>138</v>
      </c>
      <c r="X10" s="666"/>
      <c r="Y10" s="3273"/>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1"/>
      <c r="Q20" s="1263"/>
      <c r="R20" s="667"/>
      <c r="S20" s="668"/>
      <c r="T20" s="667"/>
      <c r="U20" s="668"/>
      <c r="V20" s="667"/>
      <c r="W20" s="668"/>
      <c r="X20" s="1265"/>
      <c r="Y20" s="3401"/>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1"/>
      <c r="Q24" s="1263"/>
      <c r="R24" s="667"/>
      <c r="S24" s="668"/>
      <c r="T24" s="667"/>
      <c r="U24" s="668"/>
      <c r="V24" s="667"/>
      <c r="W24" s="668"/>
      <c r="X24" s="1265"/>
      <c r="Y24" s="3401"/>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1"/>
      <c r="Q26" s="1263"/>
      <c r="R26" s="667"/>
      <c r="S26" s="668"/>
      <c r="T26" s="667"/>
      <c r="U26" s="668"/>
      <c r="V26" s="667"/>
      <c r="W26" s="668"/>
      <c r="X26" s="1265"/>
      <c r="Y26" s="3401"/>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1"/>
      <c r="Q28" s="530"/>
      <c r="R28" s="664"/>
      <c r="S28" s="665"/>
      <c r="T28" s="664"/>
      <c r="U28" s="665"/>
      <c r="V28" s="664"/>
      <c r="W28" s="665"/>
      <c r="X28" s="666"/>
      <c r="Y28" s="3401"/>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1"/>
      <c r="Q30" s="530"/>
      <c r="R30" s="664"/>
      <c r="S30" s="665"/>
      <c r="T30" s="664"/>
      <c r="U30" s="665"/>
      <c r="V30" s="664"/>
      <c r="W30" s="665"/>
      <c r="X30" s="666"/>
      <c r="Y30" s="3401"/>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1"/>
      <c r="Q33" s="1263"/>
      <c r="R33" s="667"/>
      <c r="S33" s="668"/>
      <c r="T33" s="667"/>
      <c r="U33" s="668"/>
      <c r="V33" s="667"/>
      <c r="W33" s="668"/>
      <c r="X33" s="1265"/>
      <c r="Y33" s="3401"/>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98" t="str">
        <f>A46</f>
        <v>成交单价</v>
      </c>
      <c r="Q46" s="3398"/>
      <c r="R46" s="3399">
        <f>E46</f>
        <v>0</v>
      </c>
      <c r="S46" s="3399"/>
      <c r="T46" s="3399">
        <f>G46</f>
        <v>0</v>
      </c>
      <c r="U46" s="3399"/>
      <c r="V46" s="3399">
        <f>I46</f>
        <v>0</v>
      </c>
      <c r="W46" s="339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8" t="str">
        <f>A47</f>
        <v>比较价值（元/平方米）</v>
      </c>
      <c r="Q47" s="3398"/>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95" t="str">
        <f>A48</f>
        <v>估价对象XX用房的比较价值（楼面单价，元/平方米）</v>
      </c>
      <c r="Q48" s="3396"/>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3"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670.08</v>
      </c>
      <c r="F56" s="833" t="e">
        <f t="shared" ref="F56:F64" si="15">ROUND(B56*E56/10000,0)</f>
        <v>#DIV/0!</v>
      </c>
      <c r="G56" s="3409"/>
      <c r="H56" s="339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670.08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c r="A5" s="348"/>
      <c r="B5" s="349"/>
      <c r="C5" s="3431" t="s">
        <v>1673</v>
      </c>
      <c r="D5" s="3432"/>
      <c r="E5" s="3438" t="s">
        <v>1674</v>
      </c>
      <c r="F5" s="3439"/>
      <c r="G5" s="3431" t="s">
        <v>1675</v>
      </c>
      <c r="H5" s="3432"/>
      <c r="I5" s="3431" t="s">
        <v>1676</v>
      </c>
      <c r="J5" s="3432"/>
      <c r="K5" s="537"/>
      <c r="L5" s="2485"/>
      <c r="M5" s="2486"/>
      <c r="N5" s="2486"/>
      <c r="O5" s="2486"/>
      <c r="P5" s="3419"/>
      <c r="Q5" s="3420"/>
      <c r="R5" s="3425"/>
      <c r="S5" s="3426"/>
      <c r="T5" s="3425"/>
      <c r="U5" s="3426"/>
      <c r="V5" s="3399"/>
      <c r="W5" s="3399"/>
      <c r="X5" s="1265"/>
      <c r="Y5" s="3425"/>
      <c r="Z5" s="3426"/>
      <c r="AA5" s="3411"/>
      <c r="AB5" s="3411"/>
      <c r="AC5" s="3411"/>
    </row>
    <row r="6" spans="1:29" ht="15" thickBot="1">
      <c r="A6" s="350"/>
      <c r="B6" s="351"/>
      <c r="C6" s="3460" t="s">
        <v>1919</v>
      </c>
      <c r="D6" s="3461"/>
      <c r="E6" s="3462" t="s">
        <v>1919</v>
      </c>
      <c r="F6" s="3463"/>
      <c r="G6" s="3460" t="s">
        <v>1919</v>
      </c>
      <c r="H6" s="3461"/>
      <c r="I6" s="3460" t="s">
        <v>1919</v>
      </c>
      <c r="J6" s="3461"/>
      <c r="K6" s="537" t="s">
        <v>1678</v>
      </c>
      <c r="L6" s="2485"/>
      <c r="M6" s="2486"/>
      <c r="N6" s="2486"/>
      <c r="O6" s="2486"/>
      <c r="P6" s="3421"/>
      <c r="Q6" s="3422"/>
      <c r="R6" s="3425"/>
      <c r="S6" s="3426"/>
      <c r="T6" s="3427"/>
      <c r="U6" s="3428"/>
      <c r="V6" s="3399"/>
      <c r="W6" s="3399"/>
      <c r="X6" s="1265"/>
      <c r="Y6" s="3427"/>
      <c r="Z6" s="3428"/>
      <c r="AA6" s="3412"/>
      <c r="AB6" s="3412"/>
      <c r="AC6" s="3412"/>
    </row>
    <row r="7" spans="1:29" s="102" customFormat="1" ht="14.5" thickBot="1">
      <c r="A7" s="352" t="s">
        <v>1679</v>
      </c>
      <c r="B7" s="353"/>
      <c r="C7" s="354">
        <f>'数据-取费表'!B2</f>
        <v>45964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138</v>
      </c>
      <c r="G10" s="371"/>
      <c r="H10" s="119">
        <f>ROUND(100/'数据-取费表'!G16,0)</f>
        <v>138</v>
      </c>
      <c r="I10" s="371"/>
      <c r="J10" s="119">
        <f>ROUND(100/'数据-取费表'!G16,0)</f>
        <v>138</v>
      </c>
      <c r="K10" s="592"/>
      <c r="L10" s="2488"/>
      <c r="M10" s="2489"/>
      <c r="N10" s="2489"/>
      <c r="O10" s="2540"/>
      <c r="P10" s="3398"/>
      <c r="Q10" s="530" t="str">
        <f t="shared" si="6"/>
        <v>土地使用年限（年）</v>
      </c>
      <c r="R10" s="664" t="s">
        <v>14</v>
      </c>
      <c r="S10" s="665">
        <f t="shared" si="0"/>
        <v>138</v>
      </c>
      <c r="T10" s="664" t="s">
        <v>14</v>
      </c>
      <c r="U10" s="665">
        <f t="shared" si="1"/>
        <v>138</v>
      </c>
      <c r="V10" s="664" t="s">
        <v>14</v>
      </c>
      <c r="W10" s="665">
        <f t="shared" si="2"/>
        <v>138</v>
      </c>
      <c r="X10" s="666"/>
      <c r="Y10" s="3273"/>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1"/>
      <c r="Q16" s="1263"/>
      <c r="R16" s="667"/>
      <c r="S16" s="668"/>
      <c r="T16" s="667"/>
      <c r="U16" s="668"/>
      <c r="V16" s="667"/>
      <c r="W16" s="668"/>
      <c r="X16" s="1265"/>
      <c r="Y16" s="3401"/>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1"/>
      <c r="Q18" s="1263"/>
      <c r="R18" s="667"/>
      <c r="S18" s="668"/>
      <c r="T18" s="667"/>
      <c r="U18" s="668"/>
      <c r="V18" s="667"/>
      <c r="W18" s="668"/>
      <c r="X18" s="1265"/>
      <c r="Y18" s="3401"/>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1"/>
      <c r="Q20" s="1263"/>
      <c r="R20" s="667"/>
      <c r="S20" s="668"/>
      <c r="T20" s="667"/>
      <c r="U20" s="668"/>
      <c r="V20" s="667"/>
      <c r="W20" s="668"/>
      <c r="X20" s="1265"/>
      <c r="Y20" s="3401"/>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1"/>
      <c r="Q22" s="1263"/>
      <c r="R22" s="667"/>
      <c r="S22" s="668"/>
      <c r="T22" s="667"/>
      <c r="U22" s="668"/>
      <c r="V22" s="667"/>
      <c r="W22" s="668"/>
      <c r="X22" s="1265"/>
      <c r="Y22" s="3401"/>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1"/>
      <c r="Q24" s="530"/>
      <c r="R24" s="664"/>
      <c r="S24" s="665"/>
      <c r="T24" s="664"/>
      <c r="U24" s="665"/>
      <c r="V24" s="664"/>
      <c r="W24" s="665"/>
      <c r="X24" s="666"/>
      <c r="Y24" s="3401"/>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1"/>
      <c r="Q26" s="530"/>
      <c r="R26" s="664"/>
      <c r="S26" s="665"/>
      <c r="T26" s="664"/>
      <c r="U26" s="665"/>
      <c r="V26" s="664"/>
      <c r="W26" s="665"/>
      <c r="X26" s="666"/>
      <c r="Y26" s="340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1"/>
      <c r="Q29" s="1263"/>
      <c r="R29" s="667"/>
      <c r="S29" s="668"/>
      <c r="T29" s="667"/>
      <c r="U29" s="668"/>
      <c r="V29" s="667"/>
      <c r="W29" s="668"/>
      <c r="X29" s="1265"/>
      <c r="Y29" s="3401"/>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98" t="str">
        <f>A41</f>
        <v>成交单价</v>
      </c>
      <c r="Q41" s="3398"/>
      <c r="R41" s="3399">
        <f>E41</f>
        <v>0</v>
      </c>
      <c r="S41" s="3399"/>
      <c r="T41" s="3399">
        <f>G41</f>
        <v>0</v>
      </c>
      <c r="U41" s="3399"/>
      <c r="V41" s="3399">
        <f>I41</f>
        <v>0</v>
      </c>
      <c r="W41" s="339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8" t="str">
        <f>A42</f>
        <v>比较价值（元/平方米）</v>
      </c>
      <c r="Q42" s="3398"/>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95" t="str">
        <f>A43</f>
        <v>估价对象XX用房的比较价值（楼面单价，元/平方米）</v>
      </c>
      <c r="Q43" s="3396"/>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13"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670.08</v>
      </c>
      <c r="F51" s="611" t="e">
        <f t="shared" ref="F51:F60" si="15">ROUND(B51*E51/10000,0)</f>
        <v>#DIV/0!</v>
      </c>
      <c r="G51" s="3409"/>
      <c r="H51" s="339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1" t="s">
        <v>3254</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45964</v>
      </c>
      <c r="H23" s="3047"/>
      <c r="I23" s="3048" t="str">
        <f>IF(H23="季度增幅（自定义）",SUMIF(N25:N28,E2,O25:O28),"")</f>
        <v/>
      </c>
      <c r="J23" s="3140"/>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3" t="s">
        <v>3292</v>
      </c>
      <c r="B103" s="3483"/>
      <c r="C103" s="3483"/>
      <c r="D103" s="3483"/>
      <c r="E103" s="3483"/>
      <c r="F103" s="3483"/>
      <c r="G103" s="3483"/>
      <c r="H103" s="3483"/>
      <c r="I103" s="3483"/>
      <c r="J103" s="3483"/>
      <c r="K103" s="1667"/>
      <c r="L103" s="1667"/>
      <c r="M103" s="1667"/>
      <c r="N103" s="1667"/>
    </row>
    <row r="104" spans="1:14" ht="13">
      <c r="A104" s="3484" t="s">
        <v>3293</v>
      </c>
      <c r="B104" s="3484" t="s">
        <v>3294</v>
      </c>
      <c r="C104" s="3089" t="s">
        <v>3295</v>
      </c>
      <c r="D104" s="3090"/>
      <c r="E104" s="3090"/>
      <c r="F104" s="3090"/>
      <c r="G104" s="3090"/>
      <c r="H104" s="3090"/>
      <c r="I104" s="3090"/>
      <c r="J104" s="3091"/>
      <c r="K104" s="3092"/>
      <c r="L104" s="3092"/>
      <c r="M104" s="3092"/>
      <c r="N104" s="3092"/>
    </row>
    <row r="105" spans="1:14" ht="13">
      <c r="A105" s="3484"/>
      <c r="B105" s="348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3" t="s">
        <v>3309</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f>E2</f>
        <v>0</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100-000000000000}">
      <formula1>"500米范围内,500-1000米,1000米以外"</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INDIRECT(E2)</formula1>
    </dataValidation>
    <dataValidation type="list" allowBlank="1" showInputMessage="1" showErrorMessage="1" sqref="C61:C69 C72:C80 C50:C58 C83:C91 C93:C101" xr:uid="{00000000-0002-0000-2100-000007000000}">
      <formula1>五等判定</formula1>
    </dataValidation>
    <dataValidation type="list" allowBlank="1" showInputMessage="1" showErrorMessage="1" sqref="H23" xr:uid="{00000000-0002-0000-2100-000008000000}">
      <formula1>"地价指数,季度增幅（自定义）,按公示增长率计算"</formula1>
    </dataValidation>
    <dataValidation type="list" allowBlank="1" showInputMessage="1" showErrorMessage="1" sqref="H20:O20" xr:uid="{00000000-0002-0000-2100-000009000000}">
      <formula1>七通一平</formula1>
    </dataValidation>
    <dataValidation type="list" allowBlank="1" showInputMessage="1" showErrorMessage="1" sqref="J23" xr:uid="{00000000-0002-0000-21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0" t="s">
        <v>2607</v>
      </c>
      <c r="B20" s="3493" t="s">
        <v>2628</v>
      </c>
      <c r="C20" s="3167" t="s">
        <v>2439</v>
      </c>
      <c r="D20" s="3167"/>
      <c r="E20" s="2843">
        <v>1</v>
      </c>
      <c r="F20" s="2844" t="s">
        <v>2440</v>
      </c>
      <c r="G20" s="2844"/>
    </row>
    <row r="21" spans="1:13" ht="19.5" customHeight="1">
      <c r="A21" s="3501"/>
      <c r="B21" s="3489"/>
      <c r="C21" s="2856" t="s">
        <v>2441</v>
      </c>
      <c r="D21" s="2856"/>
      <c r="E21" s="2847">
        <v>1</v>
      </c>
      <c r="F21" s="2844" t="s">
        <v>2442</v>
      </c>
      <c r="G21" s="2844"/>
    </row>
    <row r="22" spans="1:13" ht="19.5" customHeight="1">
      <c r="A22" s="3501"/>
      <c r="B22" s="3489"/>
      <c r="C22" s="2856" t="s">
        <v>2443</v>
      </c>
      <c r="D22" s="2856"/>
      <c r="E22" s="2847">
        <v>0.9</v>
      </c>
      <c r="F22" s="2844" t="s">
        <v>2444</v>
      </c>
      <c r="G22" s="2844"/>
    </row>
    <row r="23" spans="1:13" ht="19.5" customHeight="1">
      <c r="A23" s="3501"/>
      <c r="B23" s="3489"/>
      <c r="C23" s="2856" t="s">
        <v>2445</v>
      </c>
      <c r="D23" s="2856"/>
      <c r="E23" s="2847">
        <v>0.9</v>
      </c>
      <c r="F23" s="2844" t="s">
        <v>2446</v>
      </c>
      <c r="G23" s="2844"/>
    </row>
    <row r="24" spans="1:13" ht="19.5" customHeight="1">
      <c r="A24" s="3501"/>
      <c r="B24" s="3489"/>
      <c r="C24" s="2856" t="s">
        <v>2447</v>
      </c>
      <c r="D24" s="2856"/>
      <c r="E24" s="2847">
        <v>0.8</v>
      </c>
      <c r="F24" s="2844" t="s">
        <v>2448</v>
      </c>
      <c r="G24" s="2844"/>
    </row>
    <row r="25" spans="1:13" ht="19.5" customHeight="1">
      <c r="A25" s="3501"/>
      <c r="B25" s="3489"/>
      <c r="C25" s="2856" t="s">
        <v>2449</v>
      </c>
      <c r="D25" s="2856"/>
      <c r="E25" s="2847">
        <v>0.8</v>
      </c>
      <c r="F25" s="2844"/>
      <c r="G25" s="2844"/>
    </row>
    <row r="26" spans="1:13" ht="19.5" customHeight="1">
      <c r="A26" s="3501"/>
      <c r="B26" s="3489"/>
      <c r="C26" s="2856" t="s">
        <v>3410</v>
      </c>
      <c r="D26" s="2856"/>
      <c r="E26" s="2847">
        <v>0.43</v>
      </c>
      <c r="F26" s="2844"/>
      <c r="G26" s="2844"/>
    </row>
    <row r="27" spans="1:13" ht="19.5" customHeight="1" thickBot="1">
      <c r="A27" s="3502"/>
      <c r="B27" s="3494"/>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5" t="s">
        <v>2631</v>
      </c>
      <c r="B29" s="3498" t="s">
        <v>2612</v>
      </c>
      <c r="C29" s="2841" t="s">
        <v>2452</v>
      </c>
      <c r="D29" s="2842"/>
      <c r="E29" s="2843">
        <v>1</v>
      </c>
      <c r="F29" s="2844" t="s">
        <v>2453</v>
      </c>
      <c r="G29" s="2844"/>
    </row>
    <row r="30" spans="1:13" ht="19.5" customHeight="1">
      <c r="A30" s="3496"/>
      <c r="B30" s="3492"/>
      <c r="C30" s="2845" t="s">
        <v>2454</v>
      </c>
      <c r="D30" s="2846"/>
      <c r="E30" s="2847">
        <v>1</v>
      </c>
      <c r="F30" s="2844" t="s">
        <v>2455</v>
      </c>
      <c r="G30" s="2844"/>
    </row>
    <row r="31" spans="1:13" ht="19.5" customHeight="1">
      <c r="A31" s="3496"/>
      <c r="B31" s="3492"/>
      <c r="C31" s="2845" t="s">
        <v>2456</v>
      </c>
      <c r="D31" s="2846"/>
      <c r="E31" s="2847">
        <v>0.8</v>
      </c>
      <c r="F31" s="2844" t="s">
        <v>2457</v>
      </c>
      <c r="G31" s="2844"/>
    </row>
    <row r="32" spans="1:13" ht="19.5" customHeight="1">
      <c r="A32" s="3496"/>
      <c r="B32" s="3492"/>
      <c r="C32" s="2845" t="s">
        <v>2458</v>
      </c>
      <c r="D32" s="2846"/>
      <c r="E32" s="2847">
        <v>0.8</v>
      </c>
      <c r="F32" s="2844" t="s">
        <v>2459</v>
      </c>
      <c r="G32" s="2844"/>
    </row>
    <row r="33" spans="1:7" ht="19.5" customHeight="1">
      <c r="A33" s="3496"/>
      <c r="B33" s="3492"/>
      <c r="C33" s="2845" t="s">
        <v>2460</v>
      </c>
      <c r="D33" s="2846"/>
      <c r="E33" s="2847">
        <v>0.8</v>
      </c>
      <c r="F33" s="2844" t="s">
        <v>2461</v>
      </c>
      <c r="G33" s="2844"/>
    </row>
    <row r="34" spans="1:7" ht="19.5" customHeight="1">
      <c r="A34" s="3496"/>
      <c r="B34" s="3492"/>
      <c r="C34" s="2845" t="s">
        <v>2462</v>
      </c>
      <c r="D34" s="2846"/>
      <c r="E34" s="2847">
        <v>0.7</v>
      </c>
      <c r="F34" s="2844" t="s">
        <v>2463</v>
      </c>
      <c r="G34" s="2844"/>
    </row>
    <row r="35" spans="1:7" ht="19.5" customHeight="1">
      <c r="A35" s="3496"/>
      <c r="B35" s="3492"/>
      <c r="C35" s="2845" t="s">
        <v>2464</v>
      </c>
      <c r="D35" s="2846"/>
      <c r="E35" s="2847">
        <v>0.8</v>
      </c>
      <c r="F35" s="2844" t="s">
        <v>2465</v>
      </c>
      <c r="G35" s="2844"/>
    </row>
    <row r="36" spans="1:7" ht="19.5" customHeight="1">
      <c r="A36" s="3496"/>
      <c r="B36" s="3492"/>
      <c r="C36" s="2845" t="s">
        <v>2466</v>
      </c>
      <c r="D36" s="2846"/>
      <c r="E36" s="2847">
        <v>0.6</v>
      </c>
      <c r="F36" s="2844" t="s">
        <v>2467</v>
      </c>
      <c r="G36" s="2844"/>
    </row>
    <row r="37" spans="1:7" ht="19.5" customHeight="1">
      <c r="A37" s="3496"/>
      <c r="B37" s="3492"/>
      <c r="C37" s="2845" t="s">
        <v>2468</v>
      </c>
      <c r="D37" s="2846"/>
      <c r="E37" s="2847">
        <v>0.2</v>
      </c>
      <c r="F37" s="2844" t="s">
        <v>2469</v>
      </c>
      <c r="G37" s="2844"/>
    </row>
    <row r="38" spans="1:7" ht="19.5" customHeight="1">
      <c r="A38" s="3496"/>
      <c r="B38" s="3492"/>
      <c r="C38" s="2845" t="s">
        <v>2470</v>
      </c>
      <c r="D38" s="2846"/>
      <c r="E38" s="2847">
        <v>0.2</v>
      </c>
      <c r="F38" s="2844" t="s">
        <v>2471</v>
      </c>
      <c r="G38" s="2844"/>
    </row>
    <row r="39" spans="1:7" ht="19.5" customHeight="1">
      <c r="A39" s="3496"/>
      <c r="B39" s="3490" t="s">
        <v>2632</v>
      </c>
      <c r="C39" s="2845" t="s">
        <v>2472</v>
      </c>
      <c r="D39" s="2846"/>
      <c r="E39" s="2847">
        <v>0.6</v>
      </c>
      <c r="F39" s="2844" t="s">
        <v>2473</v>
      </c>
      <c r="G39" s="2844"/>
    </row>
    <row r="40" spans="1:7" ht="19.5" customHeight="1">
      <c r="A40" s="3496"/>
      <c r="B40" s="3492"/>
      <c r="C40" s="2845" t="s">
        <v>2474</v>
      </c>
      <c r="D40" s="2846"/>
      <c r="E40" s="2847">
        <v>0.6</v>
      </c>
      <c r="F40" s="2844" t="s">
        <v>2475</v>
      </c>
      <c r="G40" s="2844"/>
    </row>
    <row r="41" spans="1:7" ht="19.5" customHeight="1" thickBot="1">
      <c r="A41" s="3497"/>
      <c r="B41" s="3499"/>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0" t="s">
        <v>2610</v>
      </c>
      <c r="B43" s="3498" t="s">
        <v>2634</v>
      </c>
      <c r="C43" s="2841" t="s">
        <v>2479</v>
      </c>
      <c r="D43" s="2842"/>
      <c r="E43" s="2843">
        <v>1</v>
      </c>
      <c r="F43" s="2844" t="s">
        <v>2480</v>
      </c>
      <c r="G43" s="2844"/>
    </row>
    <row r="44" spans="1:7" ht="19.5" customHeight="1">
      <c r="A44" s="3501"/>
      <c r="B44" s="3492"/>
      <c r="C44" s="2845" t="s">
        <v>2481</v>
      </c>
      <c r="D44" s="2846"/>
      <c r="E44" s="2847">
        <v>1</v>
      </c>
      <c r="F44" s="2844" t="s">
        <v>2482</v>
      </c>
      <c r="G44" s="2844"/>
    </row>
    <row r="45" spans="1:7" ht="19.5" customHeight="1">
      <c r="A45" s="3501"/>
      <c r="B45" s="3491"/>
      <c r="C45" s="2845" t="s">
        <v>2483</v>
      </c>
      <c r="D45" s="2846"/>
      <c r="E45" s="2847">
        <v>1.5</v>
      </c>
      <c r="F45" s="2844" t="s">
        <v>2484</v>
      </c>
      <c r="G45" s="2844"/>
    </row>
    <row r="46" spans="1:7" ht="19.5" customHeight="1">
      <c r="A46" s="3501"/>
      <c r="B46" s="2856" t="s">
        <v>2635</v>
      </c>
      <c r="C46" s="2845" t="s">
        <v>2636</v>
      </c>
      <c r="D46" s="2846"/>
      <c r="E46" s="2847">
        <v>2</v>
      </c>
      <c r="F46" s="2844" t="s">
        <v>2485</v>
      </c>
      <c r="G46" s="2844"/>
    </row>
    <row r="47" spans="1:7" ht="19.5" customHeight="1">
      <c r="A47" s="3501"/>
      <c r="B47" s="3490" t="s">
        <v>2637</v>
      </c>
      <c r="C47" s="2845" t="s">
        <v>2486</v>
      </c>
      <c r="D47" s="2846"/>
      <c r="E47" s="2847">
        <v>1</v>
      </c>
      <c r="F47" s="2844" t="s">
        <v>2487</v>
      </c>
      <c r="G47" s="2844"/>
    </row>
    <row r="48" spans="1:7" ht="19.5" customHeight="1">
      <c r="A48" s="3501"/>
      <c r="B48" s="3492"/>
      <c r="C48" s="2845" t="s">
        <v>2488</v>
      </c>
      <c r="D48" s="2846"/>
      <c r="E48" s="2847">
        <v>1</v>
      </c>
      <c r="F48" s="2844" t="s">
        <v>2489</v>
      </c>
      <c r="G48" s="2844"/>
    </row>
    <row r="49" spans="1:7" ht="19.5" customHeight="1">
      <c r="A49" s="3501"/>
      <c r="B49" s="3492"/>
      <c r="C49" s="2845" t="s">
        <v>2490</v>
      </c>
      <c r="D49" s="2846"/>
      <c r="E49" s="2847">
        <v>1</v>
      </c>
      <c r="F49" s="2844" t="s">
        <v>2491</v>
      </c>
      <c r="G49" s="2844"/>
    </row>
    <row r="50" spans="1:7" ht="19.5" customHeight="1">
      <c r="A50" s="3501"/>
      <c r="B50" s="3492"/>
      <c r="C50" s="2845" t="s">
        <v>2492</v>
      </c>
      <c r="D50" s="2846"/>
      <c r="E50" s="2847">
        <v>1</v>
      </c>
      <c r="F50" s="2844" t="s">
        <v>2493</v>
      </c>
      <c r="G50" s="2844"/>
    </row>
    <row r="51" spans="1:7" ht="19.5" customHeight="1">
      <c r="A51" s="3501"/>
      <c r="B51" s="3492"/>
      <c r="C51" s="2845" t="s">
        <v>2494</v>
      </c>
      <c r="D51" s="2846"/>
      <c r="E51" s="2847">
        <v>1</v>
      </c>
      <c r="F51" s="2844" t="s">
        <v>2495</v>
      </c>
      <c r="G51" s="2844"/>
    </row>
    <row r="52" spans="1:7" ht="19.5" customHeight="1">
      <c r="A52" s="3501"/>
      <c r="B52" s="3492"/>
      <c r="C52" s="2845" t="s">
        <v>2496</v>
      </c>
      <c r="D52" s="2846"/>
      <c r="E52" s="2847">
        <v>1</v>
      </c>
      <c r="F52" s="2844" t="s">
        <v>2497</v>
      </c>
      <c r="G52" s="2844"/>
    </row>
    <row r="53" spans="1:7" ht="19.5" customHeight="1" thickBot="1">
      <c r="A53" s="3502"/>
      <c r="B53" s="3499"/>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0" t="s">
        <v>2651</v>
      </c>
      <c r="C75" s="2830" t="s">
        <v>2652</v>
      </c>
      <c r="D75" s="2830" t="s">
        <v>2653</v>
      </c>
      <c r="E75" s="2856">
        <v>0.2</v>
      </c>
      <c r="F75" s="2856">
        <v>25</v>
      </c>
    </row>
    <row r="76" spans="1:7" ht="26">
      <c r="A76" s="2856">
        <v>2</v>
      </c>
      <c r="B76" s="3492"/>
      <c r="C76" s="2830" t="s">
        <v>2654</v>
      </c>
      <c r="D76" s="2830" t="s">
        <v>2655</v>
      </c>
      <c r="E76" s="2856">
        <v>0.2</v>
      </c>
      <c r="F76" s="2856">
        <v>25</v>
      </c>
    </row>
    <row r="77" spans="1:7" ht="26">
      <c r="A77" s="2856">
        <v>3</v>
      </c>
      <c r="B77" s="3492"/>
      <c r="C77" s="2830" t="s">
        <v>2656</v>
      </c>
      <c r="D77" s="2830" t="s">
        <v>2657</v>
      </c>
      <c r="E77" s="2856">
        <v>0.2</v>
      </c>
      <c r="F77" s="2856">
        <v>25</v>
      </c>
    </row>
    <row r="78" spans="1:7" ht="14">
      <c r="A78" s="2856">
        <v>4</v>
      </c>
      <c r="B78" s="3492"/>
      <c r="C78" s="2830" t="s">
        <v>2658</v>
      </c>
      <c r="D78" s="2830" t="s">
        <v>2659</v>
      </c>
      <c r="E78" s="2856">
        <v>0.15</v>
      </c>
      <c r="F78" s="2856">
        <v>20</v>
      </c>
    </row>
    <row r="79" spans="1:7" ht="26">
      <c r="A79" s="2856">
        <v>5</v>
      </c>
      <c r="B79" s="3492"/>
      <c r="C79" s="2830" t="s">
        <v>2660</v>
      </c>
      <c r="D79" s="2830" t="s">
        <v>2661</v>
      </c>
      <c r="E79" s="2856">
        <v>0.15</v>
      </c>
      <c r="F79" s="2856">
        <v>20</v>
      </c>
    </row>
    <row r="80" spans="1:7" ht="26">
      <c r="A80" s="2856">
        <v>6</v>
      </c>
      <c r="B80" s="3492"/>
      <c r="C80" s="2830" t="s">
        <v>2662</v>
      </c>
      <c r="D80" s="2830" t="s">
        <v>2663</v>
      </c>
      <c r="E80" s="2856">
        <v>0.15</v>
      </c>
      <c r="F80" s="2856">
        <v>20</v>
      </c>
    </row>
    <row r="81" spans="1:6" ht="26">
      <c r="A81" s="2856">
        <v>7</v>
      </c>
      <c r="B81" s="3492"/>
      <c r="C81" s="2830" t="s">
        <v>2664</v>
      </c>
      <c r="D81" s="2830" t="s">
        <v>2665</v>
      </c>
      <c r="E81" s="2856">
        <v>0.15</v>
      </c>
      <c r="F81" s="2856">
        <v>20</v>
      </c>
    </row>
    <row r="82" spans="1:6" ht="26">
      <c r="A82" s="2856">
        <v>8</v>
      </c>
      <c r="B82" s="3492"/>
      <c r="C82" s="2830" t="s">
        <v>2666</v>
      </c>
      <c r="D82" s="2830" t="s">
        <v>2667</v>
      </c>
      <c r="E82" s="2856">
        <v>0.1</v>
      </c>
      <c r="F82" s="2856">
        <v>15</v>
      </c>
    </row>
    <row r="83" spans="1:6" ht="26">
      <c r="A83" s="2856">
        <v>9</v>
      </c>
      <c r="B83" s="3492"/>
      <c r="C83" s="2830" t="s">
        <v>2668</v>
      </c>
      <c r="D83" s="2830" t="s">
        <v>2669</v>
      </c>
      <c r="E83" s="2856">
        <v>0.1</v>
      </c>
      <c r="F83" s="2856">
        <v>15</v>
      </c>
    </row>
    <row r="84" spans="1:6" ht="26">
      <c r="A84" s="2856">
        <v>10</v>
      </c>
      <c r="B84" s="3492"/>
      <c r="C84" s="2830" t="s">
        <v>2670</v>
      </c>
      <c r="D84" s="2830" t="s">
        <v>2671</v>
      </c>
      <c r="E84" s="2856">
        <v>0.1</v>
      </c>
      <c r="F84" s="2856">
        <v>15</v>
      </c>
    </row>
    <row r="85" spans="1:6" ht="26">
      <c r="A85" s="2856">
        <v>11</v>
      </c>
      <c r="B85" s="3492"/>
      <c r="C85" s="2830" t="s">
        <v>2672</v>
      </c>
      <c r="D85" s="2830" t="s">
        <v>2673</v>
      </c>
      <c r="E85" s="2856">
        <v>0.1</v>
      </c>
      <c r="F85" s="2856">
        <v>15</v>
      </c>
    </row>
    <row r="86" spans="1:6" ht="26">
      <c r="A86" s="2856">
        <v>12</v>
      </c>
      <c r="B86" s="3492"/>
      <c r="C86" s="2830" t="s">
        <v>2674</v>
      </c>
      <c r="D86" s="2830" t="s">
        <v>2675</v>
      </c>
      <c r="E86" s="2856">
        <v>0.1</v>
      </c>
      <c r="F86" s="2856">
        <v>15</v>
      </c>
    </row>
    <row r="87" spans="1:6" ht="14">
      <c r="A87" s="2856">
        <v>13</v>
      </c>
      <c r="B87" s="3492"/>
      <c r="C87" s="2830" t="s">
        <v>2676</v>
      </c>
      <c r="D87" s="2830" t="s">
        <v>2677</v>
      </c>
      <c r="E87" s="2856">
        <v>0.1</v>
      </c>
      <c r="F87" s="2856">
        <v>15</v>
      </c>
    </row>
    <row r="88" spans="1:6" ht="14">
      <c r="A88" s="2856">
        <v>14</v>
      </c>
      <c r="B88" s="3492"/>
      <c r="C88" s="2830" t="s">
        <v>2678</v>
      </c>
      <c r="D88" s="2830" t="s">
        <v>2679</v>
      </c>
      <c r="E88" s="2856">
        <v>0.1</v>
      </c>
      <c r="F88" s="2856">
        <v>15</v>
      </c>
    </row>
    <row r="89" spans="1:6" ht="14">
      <c r="A89" s="2856">
        <v>15</v>
      </c>
      <c r="B89" s="3492"/>
      <c r="C89" s="2830" t="s">
        <v>2680</v>
      </c>
      <c r="D89" s="2830" t="s">
        <v>2681</v>
      </c>
      <c r="E89" s="2856">
        <v>0.1</v>
      </c>
      <c r="F89" s="2856">
        <v>15</v>
      </c>
    </row>
    <row r="90" spans="1:6" ht="26">
      <c r="A90" s="2856">
        <v>16</v>
      </c>
      <c r="B90" s="3492"/>
      <c r="C90" s="2830" t="s">
        <v>2682</v>
      </c>
      <c r="D90" s="2830" t="s">
        <v>2683</v>
      </c>
      <c r="E90" s="2856">
        <v>0.1</v>
      </c>
      <c r="F90" s="2856">
        <v>15</v>
      </c>
    </row>
    <row r="91" spans="1:6" ht="26">
      <c r="A91" s="2856">
        <v>17</v>
      </c>
      <c r="B91" s="3491"/>
      <c r="C91" s="2830" t="s">
        <v>2684</v>
      </c>
      <c r="D91" s="2830" t="s">
        <v>2685</v>
      </c>
      <c r="E91" s="2856">
        <v>0.1</v>
      </c>
      <c r="F91" s="2856">
        <v>15</v>
      </c>
    </row>
    <row r="92" spans="1:6" ht="14">
      <c r="A92" s="2856">
        <v>18</v>
      </c>
      <c r="B92" s="3490" t="s">
        <v>2686</v>
      </c>
      <c r="C92" s="2830" t="s">
        <v>2687</v>
      </c>
      <c r="D92" s="2830" t="s">
        <v>2688</v>
      </c>
      <c r="E92" s="2856">
        <v>0.2</v>
      </c>
      <c r="F92" s="2856">
        <v>25</v>
      </c>
    </row>
    <row r="93" spans="1:6" ht="26">
      <c r="A93" s="2856">
        <v>19</v>
      </c>
      <c r="B93" s="3492"/>
      <c r="C93" s="2830" t="s">
        <v>2689</v>
      </c>
      <c r="D93" s="2830" t="s">
        <v>2690</v>
      </c>
      <c r="E93" s="2856">
        <v>0.2</v>
      </c>
      <c r="F93" s="2856">
        <v>25</v>
      </c>
    </row>
    <row r="94" spans="1:6" ht="14">
      <c r="A94" s="2856">
        <v>20</v>
      </c>
      <c r="B94" s="3492"/>
      <c r="C94" s="2830" t="s">
        <v>2691</v>
      </c>
      <c r="D94" s="2830" t="s">
        <v>2692</v>
      </c>
      <c r="E94" s="2856">
        <v>0.15</v>
      </c>
      <c r="F94" s="2856">
        <v>20</v>
      </c>
    </row>
    <row r="95" spans="1:6" ht="26">
      <c r="A95" s="2856">
        <v>21</v>
      </c>
      <c r="B95" s="3492"/>
      <c r="C95" s="2830" t="s">
        <v>2693</v>
      </c>
      <c r="D95" s="2830" t="s">
        <v>2694</v>
      </c>
      <c r="E95" s="2856">
        <v>0.15</v>
      </c>
      <c r="F95" s="2856">
        <v>20</v>
      </c>
    </row>
    <row r="96" spans="1:6" ht="26">
      <c r="A96" s="2856">
        <v>22</v>
      </c>
      <c r="B96" s="3492"/>
      <c r="C96" s="2830" t="s">
        <v>2695</v>
      </c>
      <c r="D96" s="2830" t="s">
        <v>2696</v>
      </c>
      <c r="E96" s="2856">
        <v>0.15</v>
      </c>
      <c r="F96" s="2856">
        <v>20</v>
      </c>
    </row>
    <row r="97" spans="1:6" ht="39">
      <c r="A97" s="2856">
        <v>23</v>
      </c>
      <c r="B97" s="3492"/>
      <c r="C97" s="2830" t="s">
        <v>2697</v>
      </c>
      <c r="D97" s="2830" t="s">
        <v>2698</v>
      </c>
      <c r="E97" s="2856">
        <v>0.15</v>
      </c>
      <c r="F97" s="2856">
        <v>20</v>
      </c>
    </row>
    <row r="98" spans="1:6" ht="14">
      <c r="A98" s="2856">
        <v>24</v>
      </c>
      <c r="B98" s="3492"/>
      <c r="C98" s="2830" t="s">
        <v>2699</v>
      </c>
      <c r="D98" s="2830" t="s">
        <v>2700</v>
      </c>
      <c r="E98" s="2856">
        <v>0.1</v>
      </c>
      <c r="F98" s="2856">
        <v>15</v>
      </c>
    </row>
    <row r="99" spans="1:6" ht="26">
      <c r="A99" s="2856">
        <v>25</v>
      </c>
      <c r="B99" s="3492"/>
      <c r="C99" s="2830" t="s">
        <v>2701</v>
      </c>
      <c r="D99" s="2830" t="s">
        <v>2702</v>
      </c>
      <c r="E99" s="2856">
        <v>0.1</v>
      </c>
      <c r="F99" s="2856">
        <v>15</v>
      </c>
    </row>
    <row r="100" spans="1:6" ht="26">
      <c r="A100" s="2856">
        <v>26</v>
      </c>
      <c r="B100" s="3492"/>
      <c r="C100" s="2830" t="s">
        <v>2703</v>
      </c>
      <c r="D100" s="2830" t="s">
        <v>2704</v>
      </c>
      <c r="E100" s="2856">
        <v>0.1</v>
      </c>
      <c r="F100" s="2856">
        <v>15</v>
      </c>
    </row>
    <row r="101" spans="1:6" ht="26">
      <c r="A101" s="2856">
        <v>27</v>
      </c>
      <c r="B101" s="3492"/>
      <c r="C101" s="2830" t="s">
        <v>2705</v>
      </c>
      <c r="D101" s="2830" t="s">
        <v>2706</v>
      </c>
      <c r="E101" s="2856">
        <v>0.1</v>
      </c>
      <c r="F101" s="2856">
        <v>15</v>
      </c>
    </row>
    <row r="102" spans="1:6" ht="26">
      <c r="A102" s="2856">
        <v>28</v>
      </c>
      <c r="B102" s="3492"/>
      <c r="C102" s="2830" t="s">
        <v>2707</v>
      </c>
      <c r="D102" s="2830" t="s">
        <v>2708</v>
      </c>
      <c r="E102" s="2856">
        <v>0.1</v>
      </c>
      <c r="F102" s="2856">
        <v>15</v>
      </c>
    </row>
    <row r="103" spans="1:6" ht="26">
      <c r="A103" s="2856">
        <v>29</v>
      </c>
      <c r="B103" s="3492"/>
      <c r="C103" s="2830" t="s">
        <v>2709</v>
      </c>
      <c r="D103" s="2830" t="s">
        <v>2710</v>
      </c>
      <c r="E103" s="2856">
        <v>0.1</v>
      </c>
      <c r="F103" s="2856">
        <v>15</v>
      </c>
    </row>
    <row r="104" spans="1:6" ht="26">
      <c r="A104" s="2856">
        <v>30</v>
      </c>
      <c r="B104" s="3492"/>
      <c r="C104" s="2830" t="s">
        <v>2711</v>
      </c>
      <c r="D104" s="2830" t="s">
        <v>2712</v>
      </c>
      <c r="E104" s="2856">
        <v>0.1</v>
      </c>
      <c r="F104" s="2856">
        <v>15</v>
      </c>
    </row>
    <row r="105" spans="1:6" ht="26">
      <c r="A105" s="2856">
        <v>31</v>
      </c>
      <c r="B105" s="3492"/>
      <c r="C105" s="2830" t="s">
        <v>2713</v>
      </c>
      <c r="D105" s="2830" t="s">
        <v>2714</v>
      </c>
      <c r="E105" s="2856">
        <v>0.1</v>
      </c>
      <c r="F105" s="2856">
        <v>15</v>
      </c>
    </row>
    <row r="106" spans="1:6" ht="26">
      <c r="A106" s="2856">
        <v>32</v>
      </c>
      <c r="B106" s="3492"/>
      <c r="C106" s="2830" t="s">
        <v>2715</v>
      </c>
      <c r="D106" s="2830" t="s">
        <v>2716</v>
      </c>
      <c r="E106" s="2856">
        <v>0.1</v>
      </c>
      <c r="F106" s="2856">
        <v>15</v>
      </c>
    </row>
    <row r="107" spans="1:6" ht="26">
      <c r="A107" s="2856">
        <v>33</v>
      </c>
      <c r="B107" s="3492"/>
      <c r="C107" s="2830" t="s">
        <v>2717</v>
      </c>
      <c r="D107" s="2830" t="s">
        <v>2718</v>
      </c>
      <c r="E107" s="2856">
        <v>0.1</v>
      </c>
      <c r="F107" s="2856">
        <v>15</v>
      </c>
    </row>
    <row r="108" spans="1:6" ht="26">
      <c r="A108" s="2856">
        <v>34</v>
      </c>
      <c r="B108" s="3491"/>
      <c r="C108" s="2830" t="s">
        <v>2719</v>
      </c>
      <c r="D108" s="2830" t="s">
        <v>2720</v>
      </c>
      <c r="E108" s="2856">
        <v>0.1</v>
      </c>
      <c r="F108" s="2856">
        <v>15</v>
      </c>
    </row>
    <row r="109" spans="1:6" ht="26">
      <c r="A109" s="2856">
        <v>35</v>
      </c>
      <c r="B109" s="3490" t="s">
        <v>2721</v>
      </c>
      <c r="C109" s="2856" t="s">
        <v>2722</v>
      </c>
      <c r="D109" s="2830" t="s">
        <v>2723</v>
      </c>
      <c r="E109" s="2856">
        <v>0.15</v>
      </c>
      <c r="F109" s="2856">
        <v>20</v>
      </c>
    </row>
    <row r="110" spans="1:6" ht="26">
      <c r="A110" s="2856">
        <v>36</v>
      </c>
      <c r="B110" s="3492"/>
      <c r="C110" s="2856" t="s">
        <v>2724</v>
      </c>
      <c r="D110" s="2830" t="s">
        <v>2725</v>
      </c>
      <c r="E110" s="2856">
        <v>0.15</v>
      </c>
      <c r="F110" s="2856">
        <v>20</v>
      </c>
    </row>
    <row r="111" spans="1:6" ht="26">
      <c r="A111" s="2856">
        <v>37</v>
      </c>
      <c r="B111" s="3492"/>
      <c r="C111" s="2856" t="s">
        <v>2726</v>
      </c>
      <c r="D111" s="2830" t="s">
        <v>2727</v>
      </c>
      <c r="E111" s="2856">
        <v>0.15</v>
      </c>
      <c r="F111" s="2856">
        <v>20</v>
      </c>
    </row>
    <row r="112" spans="1:6" ht="14">
      <c r="A112" s="2856">
        <v>38</v>
      </c>
      <c r="B112" s="3492"/>
      <c r="C112" s="2856" t="s">
        <v>2728</v>
      </c>
      <c r="D112" s="2830" t="s">
        <v>2729</v>
      </c>
      <c r="E112" s="2856">
        <v>0.1</v>
      </c>
      <c r="F112" s="2856">
        <v>15</v>
      </c>
    </row>
    <row r="113" spans="1:6" ht="26">
      <c r="A113" s="2856">
        <v>39</v>
      </c>
      <c r="B113" s="3492"/>
      <c r="C113" s="2856" t="s">
        <v>2730</v>
      </c>
      <c r="D113" s="2830" t="s">
        <v>2731</v>
      </c>
      <c r="E113" s="2856">
        <v>0.1</v>
      </c>
      <c r="F113" s="2856">
        <v>15</v>
      </c>
    </row>
    <row r="114" spans="1:6" ht="26">
      <c r="A114" s="2856">
        <v>40</v>
      </c>
      <c r="B114" s="3491"/>
      <c r="C114" s="2856" t="s">
        <v>2732</v>
      </c>
      <c r="D114" s="2830" t="s">
        <v>2733</v>
      </c>
      <c r="E114" s="2856">
        <v>0.1</v>
      </c>
      <c r="F114" s="2856">
        <v>15</v>
      </c>
    </row>
    <row r="115" spans="1:6" ht="26">
      <c r="A115" s="2856">
        <v>41</v>
      </c>
      <c r="B115" s="3489" t="s">
        <v>2734</v>
      </c>
      <c r="C115" s="2856" t="s">
        <v>2735</v>
      </c>
      <c r="D115" s="2830" t="s">
        <v>2736</v>
      </c>
      <c r="E115" s="2856">
        <v>0.1</v>
      </c>
      <c r="F115" s="2856">
        <v>15</v>
      </c>
    </row>
    <row r="116" spans="1:6" ht="14">
      <c r="A116" s="2856">
        <v>42</v>
      </c>
      <c r="B116" s="3489"/>
      <c r="C116" s="2856" t="s">
        <v>2737</v>
      </c>
      <c r="D116" s="2830" t="s">
        <v>2738</v>
      </c>
      <c r="E116" s="2856">
        <v>0.1</v>
      </c>
      <c r="F116" s="2856">
        <v>15</v>
      </c>
    </row>
    <row r="117" spans="1:6" ht="26">
      <c r="A117" s="2856">
        <v>43</v>
      </c>
      <c r="B117" s="3489"/>
      <c r="C117" s="2856" t="s">
        <v>2739</v>
      </c>
      <c r="D117" s="2830" t="s">
        <v>2740</v>
      </c>
      <c r="E117" s="2856">
        <v>0.1</v>
      </c>
      <c r="F117" s="2856">
        <v>15</v>
      </c>
    </row>
    <row r="118" spans="1:6" ht="26">
      <c r="A118" s="2856">
        <v>44</v>
      </c>
      <c r="B118" s="3490" t="s">
        <v>2741</v>
      </c>
      <c r="C118" s="2856" t="s">
        <v>2742</v>
      </c>
      <c r="D118" s="2830" t="s">
        <v>2743</v>
      </c>
      <c r="E118" s="2856">
        <v>0.1</v>
      </c>
      <c r="F118" s="2856">
        <v>15</v>
      </c>
    </row>
    <row r="119" spans="1:6" ht="26">
      <c r="A119" s="2856">
        <v>45</v>
      </c>
      <c r="B119" s="3491"/>
      <c r="C119" s="2830" t="s">
        <v>2744</v>
      </c>
      <c r="D119" s="2830" t="s">
        <v>2745</v>
      </c>
      <c r="E119" s="2856">
        <v>0.1</v>
      </c>
      <c r="F119" s="2856">
        <v>15</v>
      </c>
    </row>
    <row r="120" spans="1:6" ht="26">
      <c r="A120" s="2856">
        <v>46</v>
      </c>
      <c r="B120" s="3490" t="s">
        <v>2746</v>
      </c>
      <c r="C120" s="2856" t="s">
        <v>2747</v>
      </c>
      <c r="D120" s="2830" t="s">
        <v>2748</v>
      </c>
      <c r="E120" s="2856">
        <v>0.1</v>
      </c>
      <c r="F120" s="2856">
        <v>15</v>
      </c>
    </row>
    <row r="121" spans="1:6" ht="26">
      <c r="A121" s="2856">
        <v>47</v>
      </c>
      <c r="B121" s="3491"/>
      <c r="C121" s="2856" t="s">
        <v>2749</v>
      </c>
      <c r="D121" s="2830" t="s">
        <v>2750</v>
      </c>
      <c r="E121" s="2856">
        <v>0.1</v>
      </c>
      <c r="F121" s="2856">
        <v>15</v>
      </c>
    </row>
    <row r="122" spans="1:6" ht="26">
      <c r="A122" s="2856">
        <v>48</v>
      </c>
      <c r="B122" s="3490" t="s">
        <v>2751</v>
      </c>
      <c r="C122" s="2856" t="s">
        <v>2752</v>
      </c>
      <c r="D122" s="2830" t="s">
        <v>2753</v>
      </c>
      <c r="E122" s="2856">
        <v>0.1</v>
      </c>
      <c r="F122" s="2856">
        <v>15</v>
      </c>
    </row>
    <row r="123" spans="1:6" ht="14">
      <c r="A123" s="2856">
        <v>49</v>
      </c>
      <c r="B123" s="3491"/>
      <c r="C123" s="2856" t="s">
        <v>2754</v>
      </c>
      <c r="D123" s="2830" t="s">
        <v>2755</v>
      </c>
      <c r="E123" s="2856">
        <v>0.1</v>
      </c>
      <c r="F123" s="2856">
        <v>15</v>
      </c>
    </row>
    <row r="124" spans="1:6" ht="26">
      <c r="A124" s="2856">
        <v>50</v>
      </c>
      <c r="B124" s="3489" t="s">
        <v>2756</v>
      </c>
      <c r="C124" s="2856" t="s">
        <v>2757</v>
      </c>
      <c r="D124" s="2830" t="s">
        <v>2758</v>
      </c>
      <c r="E124" s="2856">
        <v>0.1</v>
      </c>
      <c r="F124" s="2856">
        <v>15</v>
      </c>
    </row>
    <row r="125" spans="1:6" ht="26">
      <c r="A125" s="2856">
        <v>51</v>
      </c>
      <c r="B125" s="3489"/>
      <c r="C125" s="2856" t="s">
        <v>2759</v>
      </c>
      <c r="D125" s="2830" t="s">
        <v>2760</v>
      </c>
      <c r="E125" s="2856">
        <v>0.1</v>
      </c>
      <c r="F125" s="2856">
        <v>15</v>
      </c>
    </row>
    <row r="126" spans="1:6" ht="26">
      <c r="A126" s="2856">
        <v>52</v>
      </c>
      <c r="B126" s="3489" t="s">
        <v>2761</v>
      </c>
      <c r="C126" s="2856" t="s">
        <v>2762</v>
      </c>
      <c r="D126" s="2830" t="s">
        <v>2763</v>
      </c>
      <c r="E126" s="2856">
        <v>0.1</v>
      </c>
      <c r="F126" s="2856">
        <v>15</v>
      </c>
    </row>
    <row r="127" spans="1:6" ht="26">
      <c r="A127" s="2856">
        <v>53</v>
      </c>
      <c r="B127" s="3489"/>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9" t="s">
        <v>2769</v>
      </c>
      <c r="C129" s="2856" t="s">
        <v>2770</v>
      </c>
      <c r="D129" s="2830" t="s">
        <v>2771</v>
      </c>
      <c r="E129" s="2856">
        <v>0.1</v>
      </c>
      <c r="F129" s="2856">
        <v>15</v>
      </c>
    </row>
    <row r="130" spans="1:6" ht="14">
      <c r="A130" s="2856">
        <v>56</v>
      </c>
      <c r="B130" s="3489"/>
      <c r="C130" s="2856" t="s">
        <v>2772</v>
      </c>
      <c r="D130" s="2830" t="s">
        <v>2773</v>
      </c>
      <c r="E130" s="2856">
        <v>0.1</v>
      </c>
      <c r="F130" s="2856">
        <v>15</v>
      </c>
    </row>
    <row r="131" spans="1:6" ht="26">
      <c r="A131" s="2856">
        <v>57</v>
      </c>
      <c r="B131" s="3489"/>
      <c r="C131" s="2856" t="s">
        <v>2774</v>
      </c>
      <c r="D131" s="2830" t="s">
        <v>2775</v>
      </c>
      <c r="E131" s="2856">
        <v>0.1</v>
      </c>
      <c r="F131" s="2856">
        <v>15</v>
      </c>
    </row>
    <row r="132" spans="1:6" ht="26">
      <c r="A132" s="2856">
        <v>58</v>
      </c>
      <c r="B132" s="3489" t="s">
        <v>2776</v>
      </c>
      <c r="C132" s="2856" t="s">
        <v>2777</v>
      </c>
      <c r="D132" s="2830" t="s">
        <v>2778</v>
      </c>
      <c r="E132" s="2856">
        <v>0.1</v>
      </c>
      <c r="F132" s="2856">
        <v>15</v>
      </c>
    </row>
    <row r="133" spans="1:6" ht="26">
      <c r="A133" s="2856">
        <v>59</v>
      </c>
      <c r="B133" s="3489"/>
      <c r="C133" s="2856" t="s">
        <v>2779</v>
      </c>
      <c r="D133" s="2830" t="s">
        <v>2780</v>
      </c>
      <c r="E133" s="2856">
        <v>0.1</v>
      </c>
      <c r="F133" s="2856">
        <v>15</v>
      </c>
    </row>
    <row r="134" spans="1:6" ht="26">
      <c r="A134" s="2856">
        <v>60</v>
      </c>
      <c r="B134" s="3490" t="s">
        <v>2781</v>
      </c>
      <c r="C134" s="2856" t="s">
        <v>2782</v>
      </c>
      <c r="D134" s="2830" t="s">
        <v>2783</v>
      </c>
      <c r="E134" s="2856">
        <v>0.1</v>
      </c>
      <c r="F134" s="2856">
        <v>15</v>
      </c>
    </row>
    <row r="135" spans="1:6" ht="26">
      <c r="A135" s="2856">
        <v>61</v>
      </c>
      <c r="B135" s="3491"/>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9" t="s">
        <v>2789</v>
      </c>
      <c r="C137" s="2856" t="s">
        <v>2790</v>
      </c>
      <c r="D137" s="2830" t="s">
        <v>2791</v>
      </c>
      <c r="E137" s="2856">
        <v>0.1</v>
      </c>
      <c r="F137" s="2856">
        <v>15</v>
      </c>
    </row>
    <row r="138" spans="1:6" ht="14">
      <c r="A138" s="2856">
        <v>64</v>
      </c>
      <c r="B138" s="3489"/>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434217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670.08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670.08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670.08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61</v>
      </c>
      <c r="D45" s="227">
        <f>C47</f>
        <v>4.0000000000000001E-3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407</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285</v>
      </c>
      <c r="D51" s="224"/>
      <c r="E51" s="224"/>
      <c r="F51" s="256"/>
      <c r="G51" s="226" t="s">
        <v>37</v>
      </c>
    </row>
    <row r="52" spans="1:7" s="200" customFormat="1" ht="16.5" thickBot="1">
      <c r="A52" s="257" t="s">
        <v>38</v>
      </c>
      <c r="B52" s="258"/>
      <c r="C52" s="259">
        <f ca="1">C31+C51</f>
        <v>29096</v>
      </c>
      <c r="D52" s="258"/>
      <c r="E52" s="258"/>
      <c r="F52" s="258"/>
      <c r="G52" s="260"/>
    </row>
    <row r="55" spans="1:7" ht="15.5">
      <c r="B55" s="262" t="s">
        <v>39</v>
      </c>
      <c r="C55" s="263"/>
    </row>
    <row r="56" spans="1:7" ht="13">
      <c r="B56" s="265" t="s">
        <v>40</v>
      </c>
      <c r="C56" s="266">
        <f ca="1">ROUND(C51/C52,3)</f>
        <v>0.01</v>
      </c>
    </row>
    <row r="57" spans="1:7" ht="13">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3" t="s">
        <v>3181</v>
      </c>
      <c r="B1" s="3503"/>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6953125" defaultRowHeight="14"/>
  <cols>
    <col min="1" max="16384" width="13.269531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5" thickBot="1">
      <c r="A4" s="1391"/>
      <c r="B4" s="3188" t="s">
        <v>917</v>
      </c>
      <c r="C4" s="3188"/>
      <c r="D4" s="3188"/>
      <c r="E4" s="1391"/>
    </row>
    <row r="5" spans="1:5" ht="16" thickTop="1">
      <c r="B5" s="3186" t="s">
        <v>909</v>
      </c>
      <c r="C5" s="1392" t="s">
        <v>910</v>
      </c>
      <c r="D5" s="797">
        <f ca="1">结果表!H101</f>
        <v>2684</v>
      </c>
    </row>
    <row r="6" spans="1:5" ht="15.5">
      <c r="B6" s="3186"/>
      <c r="C6" s="1392" t="s">
        <v>911</v>
      </c>
      <c r="D6" s="797" t="str">
        <f ca="1">NUMBERSTRING(INT(D5*10000),2)&amp;"元整"</f>
        <v>贰仟陆佰捌拾肆万元整</v>
      </c>
    </row>
    <row r="7" spans="1:5" ht="15.5">
      <c r="B7" s="3191"/>
      <c r="C7" s="1393" t="s">
        <v>912</v>
      </c>
      <c r="D7" s="798">
        <f ca="1">结果表!H102</f>
        <v>40049</v>
      </c>
    </row>
    <row r="8" spans="1:5" ht="15.5">
      <c r="B8" s="3192" t="str">
        <f>结果表!E103</f>
        <v>2.估价师知悉的法定优先受偿款</v>
      </c>
      <c r="C8" s="1394" t="s">
        <v>913</v>
      </c>
      <c r="D8" s="798">
        <f>结果表!H103</f>
        <v>0</v>
      </c>
    </row>
    <row r="9" spans="1:5" ht="15.5">
      <c r="B9" s="3194"/>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5" t="str">
        <f>结果表!E107</f>
        <v>3.房地产抵押价值</v>
      </c>
      <c r="C13" s="1397" t="s">
        <v>910</v>
      </c>
      <c r="D13" s="800">
        <f ca="1">结果表!H107</f>
        <v>2684</v>
      </c>
    </row>
    <row r="14" spans="1:5" ht="15.5">
      <c r="B14" s="3186"/>
      <c r="C14" s="1392" t="s">
        <v>911</v>
      </c>
      <c r="D14" s="797" t="str">
        <f ca="1">NUMBERSTRING(INT(D13*10000),2)&amp;"元整"</f>
        <v>贰仟陆佰捌拾肆万元整</v>
      </c>
    </row>
    <row r="15" spans="1:5" ht="15.5">
      <c r="B15" s="3191"/>
      <c r="C15" s="1393" t="s">
        <v>921</v>
      </c>
      <c r="D15" s="806">
        <f ca="1">结果表!H108</f>
        <v>40049</v>
      </c>
    </row>
    <row r="16" spans="1:5" ht="15">
      <c r="B16" s="3192" t="str">
        <f>结果表!E109</f>
        <v>——</v>
      </c>
      <c r="C16" s="1397" t="s">
        <v>922</v>
      </c>
      <c r="D16" s="1398" t="str">
        <f>结果表!H109</f>
        <v>——</v>
      </c>
    </row>
    <row r="17" spans="1:5" ht="15.5">
      <c r="B17" s="3193"/>
      <c r="C17" s="1392" t="s">
        <v>923</v>
      </c>
      <c r="D17" s="797" t="e">
        <f>NUMBERSTRING(INT(D16*10000),2)&amp;"元整"</f>
        <v>#VALUE!</v>
      </c>
    </row>
    <row r="18" spans="1:5" ht="15.5">
      <c r="B18" s="3194"/>
      <c r="C18" s="1393" t="s">
        <v>912</v>
      </c>
      <c r="D18" s="806" t="str">
        <f>结果表!H110</f>
        <v>——</v>
      </c>
    </row>
    <row r="19" spans="1:5" ht="15.5">
      <c r="B19" s="3185" t="str">
        <f>结果表!E111</f>
        <v>——</v>
      </c>
      <c r="C19" s="1397" t="s">
        <v>910</v>
      </c>
      <c r="D19" s="798" t="str">
        <f>结果表!H111</f>
        <v>——</v>
      </c>
    </row>
    <row r="20" spans="1:5" ht="15.5">
      <c r="B20" s="3186"/>
      <c r="C20" s="1392" t="s">
        <v>923</v>
      </c>
      <c r="D20" s="797" t="e">
        <f>NUMBERSTRING(INT(D19*10000),2)&amp;"元整"</f>
        <v>#VALUE!</v>
      </c>
    </row>
    <row r="21" spans="1:5" ht="16" thickBot="1">
      <c r="B21" s="3187"/>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topLeftCell="A46" zoomScale="70" zoomScaleNormal="70" zoomScaleSheetLayoutView="70" workbookViewId="0">
      <selection activeCell="G105" sqref="G105"/>
    </sheetView>
  </sheetViews>
  <sheetFormatPr defaultColWidth="9" defaultRowHeight="14"/>
  <cols>
    <col min="1" max="1" width="10.453125" style="347" customWidth="1"/>
    <col min="2" max="2" width="15.7265625" style="347" customWidth="1"/>
    <col min="3" max="3" width="16.7265625" style="347" customWidth="1"/>
    <col min="4" max="4" width="12.26953125" style="347" customWidth="1"/>
    <col min="5" max="5" width="16.08984375" style="347" customWidth="1"/>
    <col min="6" max="6" width="12.26953125" style="347" customWidth="1"/>
    <col min="7" max="7" width="18.26953125" style="347" customWidth="1"/>
    <col min="8" max="8" width="12.26953125" style="347" customWidth="1"/>
    <col min="9" max="9" width="16.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3435</v>
      </c>
      <c r="F1" s="1735" t="s">
        <v>3436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3232.0639000000001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48234</v>
      </c>
      <c r="C3" s="344" t="s">
        <v>1768</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23" t="s">
        <v>1771</v>
      </c>
      <c r="S4" s="3424"/>
      <c r="T4" s="3423" t="s">
        <v>1772</v>
      </c>
      <c r="U4" s="3424"/>
      <c r="V4" s="3399" t="s">
        <v>1773</v>
      </c>
      <c r="W4" s="3399"/>
      <c r="X4" s="1265"/>
      <c r="Y4" s="3423" t="s">
        <v>1775</v>
      </c>
      <c r="Z4" s="3424"/>
      <c r="AA4" s="3410" t="s">
        <v>1771</v>
      </c>
      <c r="AB4" s="3399" t="s">
        <v>1772</v>
      </c>
      <c r="AC4" s="3410" t="s">
        <v>1773</v>
      </c>
    </row>
    <row r="5" spans="1:29">
      <c r="A5" s="348"/>
      <c r="B5" s="349"/>
      <c r="C5" s="3506" t="s">
        <v>3460</v>
      </c>
      <c r="D5" s="3432"/>
      <c r="E5" s="3507" t="s">
        <v>3460</v>
      </c>
      <c r="F5" s="3439"/>
      <c r="G5" s="3506" t="s">
        <v>3461</v>
      </c>
      <c r="H5" s="3432"/>
      <c r="I5" s="3506" t="s">
        <v>3463</v>
      </c>
      <c r="J5" s="3432"/>
      <c r="K5" s="537"/>
      <c r="L5" s="2485"/>
      <c r="M5" s="2486"/>
      <c r="N5" s="2486"/>
      <c r="O5" s="2486"/>
      <c r="P5" s="3419"/>
      <c r="Q5" s="3420"/>
      <c r="R5" s="3425"/>
      <c r="S5" s="3426"/>
      <c r="T5" s="3425"/>
      <c r="U5" s="3426"/>
      <c r="V5" s="3399"/>
      <c r="W5" s="3399"/>
      <c r="X5" s="1265"/>
      <c r="Y5" s="3425"/>
      <c r="Z5" s="3426"/>
      <c r="AA5" s="3411"/>
      <c r="AB5" s="3399"/>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399"/>
      <c r="AC6" s="3412"/>
    </row>
    <row r="7" spans="1:29" s="102" customFormat="1" ht="14.5" thickBot="1">
      <c r="A7" s="352" t="s">
        <v>1679</v>
      </c>
      <c r="B7" s="353"/>
      <c r="C7" s="354">
        <f>'数据-取费表'!B2</f>
        <v>45964</v>
      </c>
      <c r="D7" s="355">
        <v>100</v>
      </c>
      <c r="E7" s="356">
        <f>C7</f>
        <v>45964</v>
      </c>
      <c r="F7" s="357">
        <f>SUMIF(58:58,YEAR(E7)&amp;"-"&amp;MONTH(E7),59:59)</f>
        <v>100</v>
      </c>
      <c r="G7" s="356">
        <f>C7</f>
        <v>45964</v>
      </c>
      <c r="H7" s="355">
        <f>SUMIF(58:58,YEAR(G7)&amp;"-"&amp;MONTH(G7),59:59)</f>
        <v>100</v>
      </c>
      <c r="I7" s="356">
        <f>C7</f>
        <v>45964</v>
      </c>
      <c r="J7" s="355">
        <f>SUMIF(58:58,YEAR(I7)&amp;"-"&amp;MONTH(I7),59:59)</f>
        <v>100</v>
      </c>
      <c r="K7" s="38"/>
      <c r="L7" s="2487"/>
      <c r="M7" s="2439"/>
      <c r="N7" s="2439"/>
      <c r="O7" s="2439"/>
      <c r="P7" s="3433"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433" t="s">
        <v>1683</v>
      </c>
      <c r="Q8" s="3434"/>
      <c r="R8" s="664" t="s">
        <v>14</v>
      </c>
      <c r="S8" s="665">
        <f t="shared" si="0"/>
        <v>104</v>
      </c>
      <c r="T8" s="664" t="s">
        <v>14</v>
      </c>
      <c r="U8" s="665">
        <f t="shared" si="1"/>
        <v>104</v>
      </c>
      <c r="V8" s="664" t="s">
        <v>14</v>
      </c>
      <c r="W8" s="665">
        <f t="shared" si="2"/>
        <v>104</v>
      </c>
      <c r="X8" s="666"/>
      <c r="Y8" s="3433" t="s">
        <v>1683</v>
      </c>
      <c r="Z8" s="3434"/>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t="s">
        <v>3511</v>
      </c>
      <c r="D10" s="119">
        <v>100</v>
      </c>
      <c r="E10" s="3131" t="s">
        <v>3511</v>
      </c>
      <c r="F10" s="364">
        <f>SUMIF(65:65,E10,66:66)-SUMIF(65:65,C10,66:66)+100</f>
        <v>100</v>
      </c>
      <c r="G10" s="3131" t="s">
        <v>3511</v>
      </c>
      <c r="H10" s="119">
        <f>SUMIF(65:65,G10,66:66)-SUMIF(65:65,C10,66:66)+100</f>
        <v>100</v>
      </c>
      <c r="I10" s="3131" t="s">
        <v>3512</v>
      </c>
      <c r="J10" s="119">
        <f>SUMIF(65:65,I10,66:66)-SUMIF(65:65,C10,66:66)+100</f>
        <v>102</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102</v>
      </c>
      <c r="X10" s="666"/>
      <c r="Y10" s="3273"/>
      <c r="Z10" s="50" t="str">
        <f t="shared" si="7"/>
        <v>土地使用年限（年）</v>
      </c>
      <c r="AA10" s="50">
        <f t="shared" si="3"/>
        <v>1</v>
      </c>
      <c r="AB10" s="50">
        <f t="shared" si="4"/>
        <v>1</v>
      </c>
      <c r="AC10" s="50">
        <f t="shared" si="5"/>
        <v>0.98039215686274506</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t="s">
        <v>3464</v>
      </c>
      <c r="J12" s="119">
        <f>SUMIF(70:70,I12,71:71)-SUMIF(70:70,C12,71:71)+100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f>2008-2+40-2025</f>
        <v>21</v>
      </c>
      <c r="J13" s="374">
        <f>SUMIF(72:72,I13,73:73)-SUMIF(72:72,C13,73:73)+100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08"/>
      <c r="Q16" s="1263"/>
      <c r="R16" s="667"/>
      <c r="S16" s="668"/>
      <c r="T16" s="667"/>
      <c r="U16" s="668"/>
      <c r="V16" s="667"/>
      <c r="W16" s="668"/>
      <c r="X16" s="1265"/>
      <c r="Y16" s="3401"/>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08"/>
      <c r="Q18" s="1263"/>
      <c r="R18" s="667"/>
      <c r="S18" s="668"/>
      <c r="T18" s="667"/>
      <c r="U18" s="668"/>
      <c r="V18" s="667"/>
      <c r="W18" s="668"/>
      <c r="X18" s="1265"/>
      <c r="Y18" s="340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08"/>
      <c r="Q20" s="1263"/>
      <c r="R20" s="667"/>
      <c r="S20" s="668"/>
      <c r="T20" s="667"/>
      <c r="U20" s="668"/>
      <c r="V20" s="667"/>
      <c r="W20" s="668"/>
      <c r="X20" s="1265"/>
      <c r="Y20" s="340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08"/>
      <c r="Q22" s="1263"/>
      <c r="R22" s="667"/>
      <c r="S22" s="668"/>
      <c r="T22" s="667"/>
      <c r="U22" s="668"/>
      <c r="V22" s="667"/>
      <c r="W22" s="668"/>
      <c r="X22" s="1265"/>
      <c r="Y22" s="3401"/>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08"/>
      <c r="Q24" s="1263"/>
      <c r="R24" s="667"/>
      <c r="S24" s="668"/>
      <c r="T24" s="667"/>
      <c r="U24" s="668"/>
      <c r="V24" s="667"/>
      <c r="W24" s="668"/>
      <c r="X24" s="1265"/>
      <c r="Y24" s="3401"/>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3446</v>
      </c>
      <c r="H27" s="401">
        <f>SUMIF(90:90,G27,91:91)-SUMIF(90:90,C27,91:91)+100</f>
        <v>100</v>
      </c>
      <c r="I27" s="1807" t="s">
        <v>3448</v>
      </c>
      <c r="J27" s="401">
        <f>SUMIF(90:90,I27,91:91)-SUMIF(90:90,C27,91:91)+100</f>
        <v>105</v>
      </c>
      <c r="K27" s="538">
        <v>5</v>
      </c>
      <c r="L27" s="2487"/>
      <c r="M27" s="2439"/>
      <c r="N27" s="2439"/>
      <c r="O27" s="2439"/>
      <c r="P27" s="3408"/>
      <c r="Q27" s="530" t="str">
        <f t="shared" si="11"/>
        <v>人流量</v>
      </c>
      <c r="R27" s="664" t="s">
        <v>14</v>
      </c>
      <c r="S27" s="665">
        <f>F27</f>
        <v>100</v>
      </c>
      <c r="T27" s="664" t="s">
        <v>14</v>
      </c>
      <c r="U27" s="665">
        <f>H27</f>
        <v>100</v>
      </c>
      <c r="V27" s="664" t="s">
        <v>14</v>
      </c>
      <c r="W27" s="665">
        <f>J27</f>
        <v>105</v>
      </c>
      <c r="X27" s="666"/>
      <c r="Y27" s="3401"/>
      <c r="Z27" s="50" t="str">
        <f>Q27</f>
        <v>人流量</v>
      </c>
      <c r="AA27" s="1264">
        <f>D27/F27</f>
        <v>1</v>
      </c>
      <c r="AB27" s="1264">
        <f>D27/H27</f>
        <v>1</v>
      </c>
      <c r="AC27" s="1264">
        <f>D27/J27</f>
        <v>0.95238095238095233</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559.39</v>
      </c>
      <c r="F33" s="364">
        <f>LOOKUP(E33,103:103,104:104)-LOOKUP(C33,103:103,104:104)+100</f>
        <v>100</v>
      </c>
      <c r="G33" s="368">
        <v>159.07</v>
      </c>
      <c r="H33" s="119">
        <f>LOOKUP(G33,103:103,104:104)-LOOKUP(C33,103:103,104:104)+100</f>
        <v>102</v>
      </c>
      <c r="I33" s="368">
        <v>125.5</v>
      </c>
      <c r="J33" s="119">
        <f>LOOKUP(I33,103:103,104:104)-LOOKUP(C33,103:103,104:104)+100</f>
        <v>102</v>
      </c>
      <c r="K33" s="539"/>
      <c r="L33" s="2490"/>
      <c r="M33" s="2492"/>
      <c r="N33" s="2492"/>
      <c r="O33" s="2492"/>
      <c r="P33" s="3403"/>
      <c r="Q33" s="531" t="str">
        <f t="shared" si="11"/>
        <v>项目建筑规模</v>
      </c>
      <c r="R33" s="669" t="s">
        <v>14</v>
      </c>
      <c r="S33" s="670">
        <f t="shared" si="12"/>
        <v>100</v>
      </c>
      <c r="T33" s="669" t="s">
        <v>14</v>
      </c>
      <c r="U33" s="670">
        <f t="shared" si="13"/>
        <v>102</v>
      </c>
      <c r="V33" s="669" t="s">
        <v>14</v>
      </c>
      <c r="W33" s="670">
        <f t="shared" si="14"/>
        <v>102</v>
      </c>
      <c r="X33" s="671"/>
      <c r="Y33" s="3405"/>
      <c r="Z33" s="672" t="str">
        <f t="shared" si="15"/>
        <v>项目建筑规模</v>
      </c>
      <c r="AA33" s="1264">
        <f t="shared" si="3"/>
        <v>1</v>
      </c>
      <c r="AB33" s="1264">
        <f t="shared" si="4"/>
        <v>0.98039215686274506</v>
      </c>
      <c r="AC33" s="1264">
        <f t="shared" si="5"/>
        <v>0.98039215686274506</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03"/>
      <c r="Q36" s="1263" t="str">
        <f t="shared" si="11"/>
        <v>成新度</v>
      </c>
      <c r="R36" s="667" t="s">
        <v>14</v>
      </c>
      <c r="S36" s="668">
        <f t="shared" si="12"/>
        <v>100</v>
      </c>
      <c r="T36" s="667" t="s">
        <v>14</v>
      </c>
      <c r="U36" s="668">
        <f t="shared" si="13"/>
        <v>100</v>
      </c>
      <c r="V36" s="667" t="s">
        <v>14</v>
      </c>
      <c r="W36" s="668">
        <f t="shared" si="14"/>
        <v>100</v>
      </c>
      <c r="X36" s="1265"/>
      <c r="Y36" s="3405"/>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3466</v>
      </c>
      <c r="H38" s="374">
        <f>SUMIF(114:114,G38,115:115)-SUMIF(114:114,C38,115:115)+100</f>
        <v>100</v>
      </c>
      <c r="I38" s="1760" t="s">
        <v>3466</v>
      </c>
      <c r="J38" s="374">
        <f>SUMIF(114:114,I38,115:115)-SUMIF(114:114,C38,115:115)+100</f>
        <v>100</v>
      </c>
      <c r="K38" s="538">
        <v>5</v>
      </c>
      <c r="L38" s="2491"/>
      <c r="M38" s="2486"/>
      <c r="N38" s="2486"/>
      <c r="O38" s="2486"/>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5">
      <c r="A42" s="409"/>
      <c r="B42" s="364" t="s">
        <v>1792</v>
      </c>
      <c r="C42" s="1760" t="s">
        <v>3484</v>
      </c>
      <c r="D42" s="374">
        <v>100</v>
      </c>
      <c r="E42" s="1760" t="s">
        <v>3482</v>
      </c>
      <c r="F42" s="400">
        <f>SUMIF(122:122,E42,123:123)-SUMIF(122:122,C42,123:123)+100</f>
        <v>102</v>
      </c>
      <c r="G42" s="1760" t="s">
        <v>3482</v>
      </c>
      <c r="H42" s="374">
        <f>SUMIF(122:122,G42,123:123)-SUMIF(122:122,C42,123:123)+100</f>
        <v>102</v>
      </c>
      <c r="I42" s="1760" t="s">
        <v>3482</v>
      </c>
      <c r="J42" s="374">
        <f>SUMIF(122:122,I42,123:123)-SUMIF(122:122,C42,123:123)+100</f>
        <v>102</v>
      </c>
      <c r="K42" s="538">
        <v>2</v>
      </c>
      <c r="L42" s="2491"/>
      <c r="M42" s="2486"/>
      <c r="N42" s="2486"/>
      <c r="O42" s="2486"/>
      <c r="P42" s="3403"/>
      <c r="Q42" s="1263" t="str">
        <f t="shared" si="11"/>
        <v>内部装修</v>
      </c>
      <c r="R42" s="667" t="s">
        <v>14</v>
      </c>
      <c r="S42" s="668">
        <f t="shared" si="12"/>
        <v>102</v>
      </c>
      <c r="T42" s="667" t="s">
        <v>14</v>
      </c>
      <c r="U42" s="668">
        <f t="shared" si="13"/>
        <v>102</v>
      </c>
      <c r="V42" s="667" t="s">
        <v>14</v>
      </c>
      <c r="W42" s="668">
        <f t="shared" si="14"/>
        <v>102</v>
      </c>
      <c r="X42" s="1265"/>
      <c r="Y42" s="3405"/>
      <c r="Z42" s="1264" t="str">
        <f t="shared" si="15"/>
        <v>内部装修</v>
      </c>
      <c r="AA42" s="1264">
        <f t="shared" si="3"/>
        <v>0.98039215686274506</v>
      </c>
      <c r="AB42" s="1264">
        <f t="shared" si="4"/>
        <v>0.98039215686274506</v>
      </c>
      <c r="AC42" s="1264">
        <f t="shared" si="5"/>
        <v>0.98039215686274506</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c r="A47" s="416" t="s">
        <v>1708</v>
      </c>
      <c r="B47" s="417"/>
      <c r="C47" s="1081" t="s">
        <v>0</v>
      </c>
      <c r="D47" s="418"/>
      <c r="E47" s="419">
        <f>E51</f>
        <v>46980</v>
      </c>
      <c r="F47" s="420"/>
      <c r="G47" s="421">
        <f>G51</f>
        <v>55425</v>
      </c>
      <c r="H47" s="422"/>
      <c r="I47" s="419">
        <f>I51</f>
        <v>57004</v>
      </c>
      <c r="J47" s="422"/>
      <c r="K47" s="674"/>
      <c r="L47" s="2493"/>
      <c r="M47" s="2486" t="s">
        <v>3474</v>
      </c>
      <c r="N47" s="2486">
        <v>10</v>
      </c>
      <c r="O47" s="2486">
        <v>0.1</v>
      </c>
      <c r="P47" s="3398" t="str">
        <f>A47</f>
        <v>成交单价（元/平方米）</v>
      </c>
      <c r="Q47" s="3398"/>
      <c r="R47" s="3399">
        <f>E47</f>
        <v>46980</v>
      </c>
      <c r="S47" s="3399"/>
      <c r="T47" s="3399">
        <f>G47</f>
        <v>55425</v>
      </c>
      <c r="U47" s="3399"/>
      <c r="V47" s="3399">
        <f>I47</f>
        <v>57004</v>
      </c>
      <c r="W47" s="3399"/>
      <c r="X47" s="385"/>
      <c r="Y47" s="673"/>
      <c r="Z47" s="385"/>
      <c r="AA47" s="385"/>
      <c r="AB47" s="385"/>
      <c r="AC47" s="385"/>
    </row>
    <row r="48" spans="1:29" ht="14.5" thickBot="1">
      <c r="A48" s="423" t="s">
        <v>1793</v>
      </c>
      <c r="B48" s="424"/>
      <c r="C48" s="1082">
        <f>R49</f>
        <v>48234</v>
      </c>
      <c r="D48" s="2141" t="s">
        <v>2138</v>
      </c>
      <c r="E48" s="1083">
        <f>R48</f>
        <v>44287</v>
      </c>
      <c r="F48" s="2142"/>
      <c r="G48" s="1082">
        <f>T48</f>
        <v>51224</v>
      </c>
      <c r="H48" s="2142"/>
      <c r="I48" s="1083">
        <f>V48</f>
        <v>49191</v>
      </c>
      <c r="J48" s="2142"/>
      <c r="K48" s="2144">
        <f>F48+H48+J48</f>
        <v>0</v>
      </c>
      <c r="L48" s="2493"/>
      <c r="M48" s="2486" t="s">
        <v>3475</v>
      </c>
      <c r="N48" s="2486">
        <v>90</v>
      </c>
      <c r="O48" s="2486">
        <v>0.9</v>
      </c>
      <c r="P48" s="3398" t="str">
        <f>A48</f>
        <v>比较价值（元/平方米）</v>
      </c>
      <c r="Q48" s="3398"/>
      <c r="R48" s="3399">
        <f>IF(F1="售价",ROUND(PRODUCT(R47,AA7:AA46),0),ROUND(PRODUCT(R47,AA7:AA46),1))</f>
        <v>44287</v>
      </c>
      <c r="S48" s="3399"/>
      <c r="T48" s="3399">
        <f>IF(F1="售价",ROUND(PRODUCT(T47,AB7:AB46),0),ROUND(PRODUCT(T47,AB7:AB46),1))</f>
        <v>51224</v>
      </c>
      <c r="U48" s="3399"/>
      <c r="V48" s="3399">
        <f>IF(F1="售价",ROUND(PRODUCT(V47,AC7:AC46),0),ROUND(PRODUCT(V47,AC7:AC46),1))</f>
        <v>49191</v>
      </c>
      <c r="W48" s="3399"/>
      <c r="X48" s="385"/>
      <c r="Y48" s="385"/>
      <c r="Z48" s="385"/>
      <c r="AA48" s="385"/>
      <c r="AB48" s="385"/>
      <c r="AC48" s="385"/>
    </row>
    <row r="49" spans="1:29" ht="14.5" thickBot="1">
      <c r="A49" s="427" t="s">
        <v>1794</v>
      </c>
      <c r="B49" s="428"/>
      <c r="C49" s="351">
        <f>R49</f>
        <v>48234</v>
      </c>
      <c r="D49" s="351"/>
      <c r="E49" s="351"/>
      <c r="F49" s="351"/>
      <c r="G49" s="351"/>
      <c r="H49" s="351"/>
      <c r="I49" s="351"/>
      <c r="J49" s="351"/>
      <c r="K49" s="675"/>
      <c r="L49" s="2493"/>
      <c r="M49" s="3179" t="s">
        <v>3478</v>
      </c>
      <c r="N49" s="2486">
        <v>100</v>
      </c>
      <c r="O49" s="2486">
        <f>O47*N29+O48*N30</f>
        <v>73</v>
      </c>
      <c r="P49" s="3395" t="str">
        <f>A49</f>
        <v>估价对象XX用房的比较价值（楼面单价，元/平方米）</v>
      </c>
      <c r="Q49" s="3396"/>
      <c r="R49" s="3397">
        <f>IF(F1="售价",ROUND(IF(D48="简单平均",AVERAGE(R48:V48),R48*F48+T48*H48+V48*J48),0),ROUND(IF(D48="简单平均",AVERAGE(R48:V48),R48*F48+T48*H48+V48*J48),1))</f>
        <v>48234</v>
      </c>
      <c r="S49" s="3397"/>
      <c r="T49" s="3397"/>
      <c r="U49" s="3397"/>
      <c r="V49" s="3397"/>
      <c r="W49" s="3397"/>
      <c r="X49" s="385"/>
      <c r="Y49" s="385"/>
      <c r="Z49" s="385"/>
      <c r="AA49" s="385"/>
      <c r="AB49" s="385"/>
      <c r="AC49" s="385"/>
    </row>
    <row r="50" spans="1:29">
      <c r="A50" s="2486"/>
      <c r="B50" s="2486"/>
      <c r="C50" s="2486"/>
      <c r="D50" s="2486"/>
      <c r="E50" s="2486">
        <v>64356</v>
      </c>
      <c r="F50" s="2486"/>
      <c r="G50" s="3181">
        <v>75924</v>
      </c>
      <c r="H50" s="2486"/>
      <c r="I50" s="2486">
        <v>78088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ROUND(E50*$N$32/$N$29,0)</f>
        <v>46980</v>
      </c>
      <c r="F51" s="2486"/>
      <c r="G51" s="2486">
        <f>ROUND(G50*$N$32/$N$29,0)</f>
        <v>55425</v>
      </c>
      <c r="H51" s="2486"/>
      <c r="I51" s="2486">
        <f>ROUND(I50*$N$32/$N$29,0)</f>
        <v>57004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6.0807912028360445E-2</v>
      </c>
      <c r="F52" s="435" t="str">
        <f>IF(OR(E52&gt;=0.3,E52&lt;=-0.3),"超过30%","")</f>
        <v/>
      </c>
      <c r="G52" s="434">
        <f>IF(G47&lt;G48,G48/G47-1,G47/G48-1)</f>
        <v>8.2012337966578253E-2</v>
      </c>
      <c r="H52" s="435" t="str">
        <f>IF(OR(G52&gt;=0.3,G52&lt;=-0.3),"超过30%","")</f>
        <v/>
      </c>
      <c r="I52" s="434">
        <f>IF(I47&lt;I48,I48/I47-1,I47/I48-1)</f>
        <v>0.15882986725213954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0.15663738794680149</v>
      </c>
      <c r="F53" s="435" t="str">
        <f>IF(OR(E53&gt;=0.2,E53&lt;=-0.2),"超过20%","")</f>
        <v/>
      </c>
      <c r="G53" s="434">
        <f>IF(G48&lt;I48,I48/G48-1,G48/I48-1)</f>
        <v>4.1328698339127001E-2</v>
      </c>
      <c r="H53" s="435" t="str">
        <f>IF(OR(G53&gt;=0.2,G53&lt;=-0.2),"超过20%","")</f>
        <v/>
      </c>
      <c r="I53" s="434">
        <f>IF(I48&lt;E48,E48/I48-1,I48/E48-1)</f>
        <v>0.11073226906315625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0.17975734355044692</v>
      </c>
      <c r="F54" s="435" t="str">
        <f>IF(OR(E54&gt;=0.3,E54&lt;=-0.3),"超过30%","")</f>
        <v/>
      </c>
      <c r="G54" s="434">
        <f>IF(G47&lt;I47,I47/G47-1,G47/I47-1)</f>
        <v>2.8488949030220923E-2</v>
      </c>
      <c r="H54" s="435" t="str">
        <f>IF(OR(G54&gt;=0.3,G54&lt;=-0.3),"超过30%","")</f>
        <v/>
      </c>
      <c r="I54" s="434">
        <f>IF(I47&lt;E47,E47/I47-1,I47/E47-1)</f>
        <v>0.21336739037888464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3503</v>
      </c>
      <c r="D65" s="513" t="s">
        <v>3504</v>
      </c>
      <c r="E65" s="513" t="s">
        <v>3505</v>
      </c>
      <c r="F65" s="513" t="s">
        <v>3506</v>
      </c>
      <c r="G65" s="513" t="s">
        <v>3507</v>
      </c>
      <c r="H65" s="513" t="s">
        <v>3508</v>
      </c>
      <c r="I65" s="513" t="s">
        <v>3509</v>
      </c>
      <c r="J65" s="513" t="s">
        <v>3510</v>
      </c>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3513</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500(含)-800</v>
      </c>
      <c r="H102" s="509" t="str">
        <f t="shared" si="24"/>
        <v>800(含)-1000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800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K104" si="25">D104-1</f>
        <v>98</v>
      </c>
      <c r="F104" s="467">
        <f t="shared" si="25"/>
        <v>97</v>
      </c>
      <c r="G104" s="467">
        <f t="shared" si="25"/>
        <v>96</v>
      </c>
      <c r="H104" s="467">
        <f t="shared" si="25"/>
        <v>95</v>
      </c>
      <c r="I104" s="467">
        <f t="shared" si="25"/>
        <v>94</v>
      </c>
      <c r="J104" s="467">
        <f t="shared" si="25"/>
        <v>93</v>
      </c>
      <c r="K104" s="467">
        <f t="shared" si="25"/>
        <v>92</v>
      </c>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K40" zoomScale="70" zoomScaleNormal="70" zoomScaleSheetLayoutView="70" workbookViewId="0">
      <selection activeCell="J38" sqref="J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3424</v>
      </c>
      <c r="D1" s="1271" t="s">
        <v>43</v>
      </c>
      <c r="E1" s="1272" t="s">
        <v>678</v>
      </c>
      <c r="F1" s="999">
        <f ca="1">J53</f>
        <v>20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1403.8623</v>
      </c>
      <c r="C2" s="1289" t="s">
        <v>879</v>
      </c>
      <c r="D2" s="1375">
        <f ca="1">C40+J29+L46</f>
        <v>14038623</v>
      </c>
      <c r="E2" s="1295" t="s">
        <v>880</v>
      </c>
      <c r="F2" s="1296"/>
      <c r="G2" s="2477"/>
      <c r="H2" s="2467"/>
      <c r="I2" s="2467"/>
      <c r="J2" s="2467"/>
      <c r="K2" s="2468"/>
      <c r="L2" s="2467"/>
      <c r="M2" s="2467"/>
    </row>
    <row r="3" spans="1:37" ht="18" customHeight="1" thickBot="1">
      <c r="A3" s="1297" t="s">
        <v>881</v>
      </c>
      <c r="B3" s="1298">
        <f ca="1">IF(ISERROR(D2/F43),0,ROUND(D2/F43,0))</f>
        <v>20951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1210667</v>
      </c>
      <c r="D6" s="147" t="s">
        <v>2106</v>
      </c>
      <c r="E6" s="294" t="s">
        <v>696</v>
      </c>
      <c r="F6" s="295">
        <f ca="1">INDIRECT("'数据-取费表'!u"&amp;$G$1)</f>
        <v>5.5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670.08</v>
      </c>
      <c r="G7" s="1292"/>
      <c r="H7" s="296"/>
      <c r="I7" s="3372"/>
      <c r="J7" s="298"/>
      <c r="K7" s="299"/>
      <c r="L7" s="294" t="s">
        <v>697</v>
      </c>
      <c r="M7" s="295">
        <f ca="1">F7</f>
        <v>670.08</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1513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2862125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2680320</v>
      </c>
      <c r="D14" s="1257" t="s">
        <v>708</v>
      </c>
      <c r="E14" s="1255"/>
      <c r="F14" s="311"/>
      <c r="G14" s="1292"/>
      <c r="H14" s="928" t="s">
        <v>398</v>
      </c>
      <c r="I14" s="294" t="s">
        <v>709</v>
      </c>
      <c r="J14" s="21">
        <f ca="1">C29</f>
        <v>4088750</v>
      </c>
      <c r="K14" s="12"/>
      <c r="L14" s="759"/>
      <c r="M14" s="760"/>
    </row>
    <row r="15" spans="1:37" s="1304" customFormat="1" ht="18" customHeight="1" thickBot="1">
      <c r="A15" s="928" t="s">
        <v>399</v>
      </c>
      <c r="B15" s="294" t="s">
        <v>710</v>
      </c>
      <c r="C15" s="21">
        <f ca="1">ROUND(C14*F15,0)</f>
        <v>134016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20444</v>
      </c>
      <c r="K16" s="1024" t="s">
        <v>715</v>
      </c>
      <c r="L16" s="1025"/>
      <c r="M16" s="1009"/>
    </row>
    <row r="17" spans="1:37" s="1304" customFormat="1" ht="18" customHeight="1">
      <c r="A17" s="928" t="s">
        <v>681</v>
      </c>
      <c r="B17" s="294" t="s">
        <v>716</v>
      </c>
      <c r="C17" s="21">
        <f ca="1">ROUND(F17*(F43+INDIRECT("'数据-取费表'!S"&amp;$G$1)),0)</f>
        <v>134016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53606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3001958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60039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95840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-20444</v>
      </c>
      <c r="K25" s="1032" t="s">
        <v>753</v>
      </c>
      <c r="L25" s="1033"/>
      <c r="M25" s="1034"/>
    </row>
    <row r="26" spans="1:37" ht="18" customHeight="1">
      <c r="A26" s="928" t="s">
        <v>397</v>
      </c>
      <c r="B26" s="294" t="s">
        <v>754</v>
      </c>
      <c r="C26" s="21">
        <f ca="1">ROUND((C19+C20)*F26,0)</f>
        <v>612399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4088750</v>
      </c>
      <c r="D29" s="1029"/>
      <c r="E29" s="1027"/>
      <c r="F29" s="1030"/>
      <c r="G29" s="1303"/>
      <c r="H29" s="325" t="s">
        <v>396</v>
      </c>
      <c r="I29" s="326" t="s">
        <v>768</v>
      </c>
      <c r="J29" s="327">
        <f ca="1">ROUND(J26/(1+F40)^F41,0)</f>
        <v>0</v>
      </c>
      <c r="K29" s="328" t="s">
        <v>769</v>
      </c>
      <c r="L29" s="329"/>
      <c r="M29" s="330">
        <f ca="1">INDIRECT("'数据-取费表'!k"&amp;$G$1)</f>
        <v>670.08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238359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202931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64569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138362</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20444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2862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12122</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973821</v>
      </c>
      <c r="D39" s="1032" t="s">
        <v>773</v>
      </c>
      <c r="E39" s="1033"/>
      <c r="F39" s="1034"/>
      <c r="G39" s="1292"/>
      <c r="H39" s="2472"/>
      <c r="I39" s="1305"/>
      <c r="J39" s="1306"/>
      <c r="K39" s="2470"/>
      <c r="L39" s="2472"/>
      <c r="M39" s="2472"/>
    </row>
    <row r="40" spans="1:18" ht="18" customHeight="1">
      <c r="A40" s="291" t="s">
        <v>395</v>
      </c>
      <c r="B40" s="292" t="s">
        <v>774</v>
      </c>
      <c r="C40" s="293">
        <f ca="1">ROUND(C39*(1-((1+F42)/(1+F40))^F41)/(F40-F42),0)</f>
        <v>13653605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0.80336336187694901</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20376</v>
      </c>
      <c r="D43" s="328" t="s">
        <v>777</v>
      </c>
      <c r="E43" s="329" t="s">
        <v>778</v>
      </c>
      <c r="F43" s="330">
        <f ca="1">INDIRECT("'数据-取费表'!k"&amp;$G$1)</f>
        <v>670.08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-1393.2121</v>
      </c>
      <c r="D45" s="3129" t="s">
        <v>3351</v>
      </c>
      <c r="E45" s="1307"/>
      <c r="F45" s="1307"/>
      <c r="O45" s="1310" t="s">
        <v>808</v>
      </c>
      <c r="P45" s="1366"/>
      <c r="Q45" s="1366"/>
      <c r="R45" s="1366"/>
    </row>
    <row r="46" spans="1:18" s="1292" customFormat="1" ht="14" thickBot="1">
      <c r="A46" s="1311" t="s">
        <v>809</v>
      </c>
      <c r="C46" s="1312">
        <f ca="1">ROUND(C45,0)</f>
        <v>-1393</v>
      </c>
      <c r="D46" s="1313" t="str">
        <f>C2</f>
        <v>万元</v>
      </c>
      <c r="I46" s="1314" t="s">
        <v>810</v>
      </c>
      <c r="J46" s="1315"/>
      <c r="K46" s="1316"/>
      <c r="L46" s="1317">
        <f ca="1">IF(M47="住宅",0,IF(L48&gt;J51,L60,J60))</f>
        <v>385018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13653605</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20</v>
      </c>
      <c r="O48" s="1325" t="s">
        <v>404</v>
      </c>
      <c r="P48" s="1326" t="s">
        <v>821</v>
      </c>
      <c r="Q48" s="1327">
        <f ca="1">J60</f>
        <v>385018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4088750</v>
      </c>
      <c r="R49" s="1327" t="s">
        <v>818</v>
      </c>
    </row>
    <row r="50" spans="1:18" s="1292" customFormat="1" ht="13.5" thickBot="1">
      <c r="A50" s="922"/>
      <c r="B50" s="925"/>
      <c r="C50" s="926"/>
      <c r="D50" s="899"/>
      <c r="E50" s="993" t="s">
        <v>697</v>
      </c>
      <c r="F50" s="994">
        <f ca="1">F7</f>
        <v>670.08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13476368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69" t="s">
        <v>837</v>
      </c>
      <c r="L53" s="3370"/>
      <c r="O53" s="1325" t="s">
        <v>409</v>
      </c>
      <c r="P53" s="1326" t="s">
        <v>838</v>
      </c>
      <c r="Q53" s="1327">
        <f ca="1">Q47+Q48</f>
        <v>14038623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2862125</v>
      </c>
      <c r="D56" s="1352"/>
      <c r="E56" s="1353"/>
      <c r="F56" s="1345"/>
      <c r="I56" s="1354" t="s">
        <v>842</v>
      </c>
      <c r="J56" s="1355" t="s">
        <v>3433</v>
      </c>
      <c r="K56" s="1328" t="s">
        <v>843</v>
      </c>
      <c r="L56" s="1331" t="str">
        <f ca="1">IF(L48&lt;J51,"——",L48-J51)</f>
        <v>——</v>
      </c>
      <c r="O56" s="1325" t="s">
        <v>403</v>
      </c>
      <c r="P56" s="1326" t="s">
        <v>817</v>
      </c>
      <c r="Q56" s="1327">
        <f ca="1">C40+J29</f>
        <v>13653605</v>
      </c>
      <c r="R56" s="1327" t="s">
        <v>818</v>
      </c>
    </row>
    <row r="57" spans="1:18" s="1292" customFormat="1" ht="26.5" thickBot="1">
      <c r="A57" s="1356"/>
      <c r="B57" s="896" t="s">
        <v>767</v>
      </c>
      <c r="C57" s="230">
        <f ca="1">C29</f>
        <v>4088750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23306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1635500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385018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13653605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20444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2862</v>
      </c>
      <c r="D65" s="910" t="s">
        <v>743</v>
      </c>
      <c r="E65" s="896" t="s">
        <v>744</v>
      </c>
      <c r="F65" s="321">
        <f t="shared" ca="1" si="0"/>
        <v>1E-3</v>
      </c>
      <c r="I65" s="1367" t="s">
        <v>867</v>
      </c>
      <c r="J65" s="610">
        <v>40</v>
      </c>
      <c r="K65" s="610">
        <v>30</v>
      </c>
      <c r="L65" s="610">
        <v>50</v>
      </c>
      <c r="M65" s="1369">
        <v>0.02</v>
      </c>
      <c r="O65" s="1325" t="s">
        <v>403</v>
      </c>
      <c r="P65" s="1326" t="s">
        <v>868</v>
      </c>
      <c r="Q65" s="1327">
        <f ca="1">C40+J29</f>
        <v>13653605</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-23306</v>
      </c>
      <c r="D67" s="909" t="s">
        <v>753</v>
      </c>
      <c r="E67" s="914"/>
      <c r="F67" s="915"/>
      <c r="O67" s="1334" t="s">
        <v>405</v>
      </c>
      <c r="P67" s="1326" t="s">
        <v>850</v>
      </c>
      <c r="Q67" s="1370">
        <f ca="1">L51</f>
        <v>13476368</v>
      </c>
      <c r="R67" s="1327" t="s">
        <v>870</v>
      </c>
    </row>
    <row r="68" spans="1:18" s="1292" customFormat="1" ht="16" thickBot="1">
      <c r="A68" s="893" t="s">
        <v>395</v>
      </c>
      <c r="B68" s="894" t="s">
        <v>774</v>
      </c>
      <c r="C68" s="293">
        <f ca="1">ROUND(C67*(1-((1+F70)/(1+F68))^F69)/(F68-F70),0)</f>
        <v>-278516</v>
      </c>
      <c r="D68" s="911" t="s">
        <v>758</v>
      </c>
      <c r="E68" s="896" t="s">
        <v>759</v>
      </c>
      <c r="F68" s="304">
        <f ca="1">F40</f>
        <v>5.5E-2</v>
      </c>
      <c r="O68" s="1334" t="s">
        <v>406</v>
      </c>
      <c r="P68" s="1371" t="s">
        <v>871</v>
      </c>
      <c r="Q68" s="1327">
        <f ca="1">ROUND(Q69-Q70*Q71,0)</f>
        <v>773472</v>
      </c>
      <c r="R68" s="1327" t="s">
        <v>414</v>
      </c>
    </row>
    <row r="69" spans="1:18" s="1292" customFormat="1" ht="13.5" thickBot="1">
      <c r="A69" s="897"/>
      <c r="B69" s="898"/>
      <c r="C69" s="298"/>
      <c r="D69" s="916" t="s">
        <v>762</v>
      </c>
      <c r="E69" s="896" t="s">
        <v>763</v>
      </c>
      <c r="F69" s="324">
        <f ca="1">F41</f>
        <v>20</v>
      </c>
      <c r="O69" s="1334" t="s">
        <v>411</v>
      </c>
      <c r="P69" s="1371" t="s">
        <v>872</v>
      </c>
      <c r="Q69" s="1327">
        <f ca="1">C39</f>
        <v>973821</v>
      </c>
      <c r="R69" s="1327" t="s">
        <v>818</v>
      </c>
    </row>
    <row r="70" spans="1:18" s="1292" customFormat="1" ht="13.5" thickBot="1">
      <c r="A70" s="900"/>
      <c r="B70" s="901"/>
      <c r="C70" s="302"/>
      <c r="D70" s="912"/>
      <c r="E70" s="896" t="s">
        <v>766</v>
      </c>
      <c r="F70" s="991"/>
      <c r="O70" s="1334" t="s">
        <v>412</v>
      </c>
      <c r="P70" s="1371" t="s">
        <v>873</v>
      </c>
      <c r="Q70" s="1327">
        <f ca="1">C13</f>
        <v>2862125</v>
      </c>
      <c r="R70" s="1327" t="s">
        <v>818</v>
      </c>
    </row>
    <row r="71" spans="1:18" s="1292" customFormat="1" ht="13.5" thickBot="1">
      <c r="A71" s="917" t="s">
        <v>396</v>
      </c>
      <c r="B71" s="918" t="s">
        <v>776</v>
      </c>
      <c r="C71" s="327">
        <f ca="1">ROUND(C68/F71,0)</f>
        <v>-416</v>
      </c>
      <c r="D71" s="919" t="s">
        <v>777</v>
      </c>
      <c r="E71" s="920" t="s">
        <v>778</v>
      </c>
      <c r="F71" s="330">
        <f ca="1">F43</f>
        <v>670.08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200349</v>
      </c>
      <c r="D75" s="1292"/>
      <c r="E75" s="1292"/>
      <c r="F75" s="1292"/>
      <c r="K75" s="1309"/>
      <c r="L75" s="1292"/>
      <c r="O75" s="1325" t="s">
        <v>409</v>
      </c>
      <c r="P75" s="1326" t="s">
        <v>838</v>
      </c>
      <c r="Q75" s="1327">
        <f ca="1">Q65+Q66</f>
        <v>13653605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0.79400000000000004</v>
      </c>
    </row>
    <row r="80" spans="1:18" ht="13">
      <c r="B80" s="331" t="s">
        <v>800</v>
      </c>
      <c r="C80" s="266">
        <f ca="1">ROUND(C75/C39,3)</f>
        <v>0.20599999999999999</v>
      </c>
    </row>
    <row r="81" spans="2:3" ht="13.5">
      <c r="B81" s="262" t="s">
        <v>801</v>
      </c>
      <c r="C81" s="230"/>
    </row>
    <row r="82" spans="2:3" ht="13">
      <c r="B82" s="265" t="s">
        <v>802</v>
      </c>
      <c r="C82" s="267">
        <f ca="1">1-C83</f>
        <v>0.79</v>
      </c>
    </row>
    <row r="83" spans="2:3" ht="13">
      <c r="B83" s="265" t="s">
        <v>803</v>
      </c>
      <c r="C83" s="266">
        <f ca="1">ROUND(C13/C40,3)</f>
        <v>0.21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估价范围判定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31"/>
  <sheetViews>
    <sheetView view="pageBreakPreview" topLeftCell="A22" zoomScale="85" zoomScaleNormal="70" zoomScaleSheetLayoutView="85" workbookViewId="0">
      <selection activeCell="M32" sqref="M3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3495</v>
      </c>
      <c r="F1" s="1735" t="s">
        <v>3496</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5.5</v>
      </c>
      <c r="C3" s="344" t="s">
        <v>1665</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1666</v>
      </c>
      <c r="B4" s="346"/>
      <c r="C4" s="3413" t="s">
        <v>1667</v>
      </c>
      <c r="D4" s="3414"/>
      <c r="E4" s="3415" t="s">
        <v>1668</v>
      </c>
      <c r="F4" s="3416"/>
      <c r="G4" s="3413" t="s">
        <v>1669</v>
      </c>
      <c r="H4" s="3414"/>
      <c r="I4" s="3413" t="s">
        <v>1670</v>
      </c>
      <c r="J4" s="3414"/>
      <c r="K4" s="537" t="s">
        <v>1671</v>
      </c>
      <c r="L4" s="2485"/>
      <c r="M4" s="2486"/>
      <c r="N4" s="2486"/>
      <c r="O4" s="2486"/>
      <c r="P4" s="3417" t="s">
        <v>1672</v>
      </c>
      <c r="Q4" s="3418"/>
      <c r="R4" s="3423" t="s">
        <v>1668</v>
      </c>
      <c r="S4" s="3424"/>
      <c r="T4" s="3423" t="s">
        <v>1669</v>
      </c>
      <c r="U4" s="3424"/>
      <c r="V4" s="3399" t="s">
        <v>1670</v>
      </c>
      <c r="W4" s="3399"/>
      <c r="X4" s="1265"/>
      <c r="Y4" s="3423" t="s">
        <v>1672</v>
      </c>
      <c r="Z4" s="3424"/>
      <c r="AA4" s="3410" t="s">
        <v>1668</v>
      </c>
      <c r="AB4" s="3399" t="s">
        <v>1669</v>
      </c>
      <c r="AC4" s="3410" t="s">
        <v>1670</v>
      </c>
    </row>
    <row r="5" spans="1:29">
      <c r="A5" s="348"/>
      <c r="B5" s="349"/>
      <c r="C5" s="3506" t="s">
        <v>3460</v>
      </c>
      <c r="D5" s="3432"/>
      <c r="E5" s="3506" t="s">
        <v>3498</v>
      </c>
      <c r="F5" s="3432"/>
      <c r="G5" s="3506" t="s">
        <v>3497</v>
      </c>
      <c r="H5" s="3432"/>
      <c r="I5" s="3506" t="s">
        <v>3498</v>
      </c>
      <c r="J5" s="3432"/>
      <c r="K5" s="537"/>
      <c r="L5" s="2485"/>
      <c r="M5" s="2486"/>
      <c r="N5" s="2486"/>
      <c r="O5" s="2486"/>
      <c r="P5" s="3419"/>
      <c r="Q5" s="3420"/>
      <c r="R5" s="3425"/>
      <c r="S5" s="3426"/>
      <c r="T5" s="3425"/>
      <c r="U5" s="3426"/>
      <c r="V5" s="3399"/>
      <c r="W5" s="3399"/>
      <c r="X5" s="1265"/>
      <c r="Y5" s="3425"/>
      <c r="Z5" s="3426"/>
      <c r="AA5" s="3411"/>
      <c r="AB5" s="3399"/>
      <c r="AC5" s="3411"/>
    </row>
    <row r="6" spans="1:29" ht="15" thickBot="1">
      <c r="A6" s="350"/>
      <c r="B6" s="351"/>
      <c r="C6" s="3429" t="s">
        <v>1677</v>
      </c>
      <c r="D6" s="3430"/>
      <c r="E6" s="3436" t="s">
        <v>1677</v>
      </c>
      <c r="F6" s="3437"/>
      <c r="G6" s="3429" t="s">
        <v>1677</v>
      </c>
      <c r="H6" s="3430"/>
      <c r="I6" s="3429" t="s">
        <v>1677</v>
      </c>
      <c r="J6" s="3430"/>
      <c r="K6" s="537" t="s">
        <v>1678</v>
      </c>
      <c r="L6" s="2485"/>
      <c r="M6" s="2486"/>
      <c r="N6" s="2486"/>
      <c r="O6" s="2486"/>
      <c r="P6" s="3421"/>
      <c r="Q6" s="3422"/>
      <c r="R6" s="3425"/>
      <c r="S6" s="3426"/>
      <c r="T6" s="3427"/>
      <c r="U6" s="3428"/>
      <c r="V6" s="3399"/>
      <c r="W6" s="3399"/>
      <c r="X6" s="1265"/>
      <c r="Y6" s="3427"/>
      <c r="Z6" s="3428"/>
      <c r="AA6" s="3412"/>
      <c r="AB6" s="3399"/>
      <c r="AC6" s="3412"/>
    </row>
    <row r="7" spans="1:29" s="102" customFormat="1" ht="14.5" thickBot="1">
      <c r="A7" s="352" t="s">
        <v>1679</v>
      </c>
      <c r="B7" s="353"/>
      <c r="C7" s="354">
        <f>'数据-取费表'!B2</f>
        <v>45964</v>
      </c>
      <c r="D7" s="355">
        <v>100</v>
      </c>
      <c r="E7" s="356">
        <f>C7</f>
        <v>45964</v>
      </c>
      <c r="F7" s="357">
        <f>SUMIF(58:58,YEAR(E7)&amp;"-"&amp;MONTH(E7),59:59)</f>
        <v>100</v>
      </c>
      <c r="G7" s="356">
        <f>C7</f>
        <v>45964</v>
      </c>
      <c r="H7" s="355">
        <f>SUMIF(58:58,YEAR(G7)&amp;"-"&amp;MONTH(G7),59:59)</f>
        <v>100</v>
      </c>
      <c r="I7" s="356">
        <f>C7</f>
        <v>45964</v>
      </c>
      <c r="J7" s="355">
        <f>SUMIF(58:58,YEAR(I7)&amp;"-"&amp;MONTH(I7),59:59)</f>
        <v>100</v>
      </c>
      <c r="K7" s="38"/>
      <c r="L7" s="2487"/>
      <c r="M7" s="2439"/>
      <c r="N7" s="2439"/>
      <c r="O7" s="2439"/>
      <c r="P7" s="3433" t="s">
        <v>1680</v>
      </c>
      <c r="Q7" s="3435"/>
      <c r="R7" s="664" t="s">
        <v>14</v>
      </c>
      <c r="S7" s="665">
        <f t="shared" ref="S7:S15" si="0">F7</f>
        <v>100</v>
      </c>
      <c r="T7" s="664" t="s">
        <v>14</v>
      </c>
      <c r="U7" s="665">
        <f t="shared" ref="U7:U15" si="1">H7</f>
        <v>100</v>
      </c>
      <c r="V7" s="664" t="s">
        <v>14</v>
      </c>
      <c r="W7" s="665">
        <f t="shared" ref="W7:W15" si="2">J7</f>
        <v>100</v>
      </c>
      <c r="X7" s="666"/>
      <c r="Y7" s="3433" t="s">
        <v>1680</v>
      </c>
      <c r="Z7" s="3434"/>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433" t="s">
        <v>1683</v>
      </c>
      <c r="Q8" s="3434"/>
      <c r="R8" s="664" t="s">
        <v>14</v>
      </c>
      <c r="S8" s="665">
        <f t="shared" si="0"/>
        <v>104</v>
      </c>
      <c r="T8" s="664" t="s">
        <v>14</v>
      </c>
      <c r="U8" s="665">
        <f t="shared" si="1"/>
        <v>104</v>
      </c>
      <c r="V8" s="664" t="s">
        <v>14</v>
      </c>
      <c r="W8" s="665">
        <f t="shared" si="2"/>
        <v>104</v>
      </c>
      <c r="X8" s="666"/>
      <c r="Y8" s="3433" t="s">
        <v>1683</v>
      </c>
      <c r="Z8" s="3434"/>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08"/>
      <c r="Q16" s="1263"/>
      <c r="R16" s="667"/>
      <c r="S16" s="668"/>
      <c r="T16" s="667"/>
      <c r="U16" s="668"/>
      <c r="V16" s="667"/>
      <c r="W16" s="668"/>
      <c r="X16" s="1265"/>
      <c r="Y16" s="340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08"/>
      <c r="Q18" s="1263"/>
      <c r="R18" s="667"/>
      <c r="S18" s="668"/>
      <c r="T18" s="667"/>
      <c r="U18" s="668"/>
      <c r="V18" s="667"/>
      <c r="W18" s="668"/>
      <c r="X18" s="1265"/>
      <c r="Y18" s="340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08"/>
      <c r="Q20" s="1263"/>
      <c r="R20" s="667"/>
      <c r="S20" s="668"/>
      <c r="T20" s="667"/>
      <c r="U20" s="668"/>
      <c r="V20" s="667"/>
      <c r="W20" s="668"/>
      <c r="X20" s="1265"/>
      <c r="Y20" s="340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08"/>
      <c r="Q22" s="1263"/>
      <c r="R22" s="667"/>
      <c r="S22" s="668"/>
      <c r="T22" s="667"/>
      <c r="U22" s="668"/>
      <c r="V22" s="667"/>
      <c r="W22" s="668"/>
      <c r="X22" s="1265"/>
      <c r="Y22" s="340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08"/>
      <c r="Q24" s="1263"/>
      <c r="R24" s="667"/>
      <c r="S24" s="668"/>
      <c r="T24" s="667"/>
      <c r="U24" s="668"/>
      <c r="V24" s="667"/>
      <c r="W24" s="668"/>
      <c r="X24" s="1265"/>
      <c r="Y24" s="3401"/>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3448</v>
      </c>
      <c r="H27" s="401">
        <f>SUMIF(90:90,G27,91:91)-SUMIF(90:90,C27,91:91)+100</f>
        <v>102</v>
      </c>
      <c r="I27" s="1807" t="s">
        <v>3446</v>
      </c>
      <c r="J27" s="401">
        <f>SUMIF(90:90,I27,91:91)-SUMIF(90:90,C27,91:91)+100</f>
        <v>100</v>
      </c>
      <c r="K27" s="538">
        <v>2</v>
      </c>
      <c r="L27" s="2487"/>
      <c r="M27" s="2439"/>
      <c r="N27" s="2439"/>
      <c r="O27" s="2439"/>
      <c r="P27" s="3408"/>
      <c r="Q27" s="530" t="str">
        <f t="shared" si="11"/>
        <v>人流量</v>
      </c>
      <c r="R27" s="664" t="s">
        <v>14</v>
      </c>
      <c r="S27" s="665">
        <f>F27</f>
        <v>100</v>
      </c>
      <c r="T27" s="664" t="s">
        <v>14</v>
      </c>
      <c r="U27" s="665">
        <f>H27</f>
        <v>102</v>
      </c>
      <c r="V27" s="664" t="s">
        <v>14</v>
      </c>
      <c r="W27" s="665">
        <f>J27</f>
        <v>100</v>
      </c>
      <c r="X27" s="666"/>
      <c r="Y27" s="3401"/>
      <c r="Z27" s="50" t="str">
        <f>Q27</f>
        <v>人流量</v>
      </c>
      <c r="AA27" s="1264">
        <f>D27/F27</f>
        <v>1</v>
      </c>
      <c r="AB27" s="1264">
        <f>D27/H27</f>
        <v>0.98039215686274506</v>
      </c>
      <c r="AC27" s="1264">
        <f>D27/J27</f>
        <v>1</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186</v>
      </c>
      <c r="F33" s="364">
        <f>LOOKUP(E33,103:103,104:104)-LOOKUP(C33,103:103,104:104)+100</f>
        <v>102</v>
      </c>
      <c r="G33" s="368">
        <v>564</v>
      </c>
      <c r="H33" s="119">
        <f>LOOKUP(G33,103:103,104:104)-LOOKUP(C33,103:103,104:104)+100</f>
        <v>100</v>
      </c>
      <c r="I33" s="368">
        <v>212</v>
      </c>
      <c r="J33" s="119">
        <f>LOOKUP(I33,103:103,104:104)-LOOKUP(C33,103:103,104:104)+100</f>
        <v>101</v>
      </c>
      <c r="K33" s="539"/>
      <c r="L33" s="2490"/>
      <c r="M33" s="2492"/>
      <c r="N33" s="2492"/>
      <c r="O33" s="2492"/>
      <c r="P33" s="3403"/>
      <c r="Q33" s="531" t="str">
        <f t="shared" si="11"/>
        <v>项目建筑规模</v>
      </c>
      <c r="R33" s="669" t="s">
        <v>14</v>
      </c>
      <c r="S33" s="670">
        <f t="shared" si="12"/>
        <v>102</v>
      </c>
      <c r="T33" s="669" t="s">
        <v>14</v>
      </c>
      <c r="U33" s="670">
        <f t="shared" si="13"/>
        <v>100</v>
      </c>
      <c r="V33" s="669" t="s">
        <v>14</v>
      </c>
      <c r="W33" s="670">
        <f t="shared" si="14"/>
        <v>101</v>
      </c>
      <c r="X33" s="671"/>
      <c r="Y33" s="3405"/>
      <c r="Z33" s="672" t="str">
        <f t="shared" si="15"/>
        <v>项目建筑规模</v>
      </c>
      <c r="AA33" s="1264">
        <f t="shared" si="3"/>
        <v>0.98039215686274506</v>
      </c>
      <c r="AB33" s="1264">
        <f t="shared" si="4"/>
        <v>1</v>
      </c>
      <c r="AC33" s="1264">
        <f t="shared" si="5"/>
        <v>0.99009900990099009</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8</v>
      </c>
      <c r="O34" s="2486"/>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5.84</v>
      </c>
      <c r="O35" s="2486"/>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03"/>
      <c r="Q36" s="1263" t="str">
        <f t="shared" si="11"/>
        <v>成新度</v>
      </c>
      <c r="R36" s="667" t="s">
        <v>14</v>
      </c>
      <c r="S36" s="668">
        <f t="shared" si="12"/>
        <v>100</v>
      </c>
      <c r="T36" s="667" t="s">
        <v>14</v>
      </c>
      <c r="U36" s="668">
        <f t="shared" si="13"/>
        <v>100</v>
      </c>
      <c r="V36" s="667" t="s">
        <v>14</v>
      </c>
      <c r="W36" s="668">
        <f t="shared" si="14"/>
        <v>100</v>
      </c>
      <c r="X36" s="1265"/>
      <c r="Y36" s="3405"/>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3452</v>
      </c>
      <c r="H38" s="374">
        <f>SUMIF(114:114,G38,115:115)-SUMIF(114:114,C38,115:115)+100</f>
        <v>105</v>
      </c>
      <c r="I38" s="1760" t="s">
        <v>3466</v>
      </c>
      <c r="J38" s="374">
        <f>SUMIF(114:114,I38,115:115)-SUMIF(114:114,C38,115:115)+100</f>
        <v>100</v>
      </c>
      <c r="K38" s="538">
        <v>5</v>
      </c>
      <c r="L38" s="2491"/>
      <c r="M38" s="2486"/>
      <c r="N38" s="2486"/>
      <c r="O38" s="2486"/>
      <c r="P38" s="3403" t="s">
        <v>1696</v>
      </c>
      <c r="Q38" s="1263" t="str">
        <f t="shared" si="11"/>
        <v>业态</v>
      </c>
      <c r="R38" s="667" t="s">
        <v>14</v>
      </c>
      <c r="S38" s="668">
        <f t="shared" si="12"/>
        <v>100</v>
      </c>
      <c r="T38" s="667" t="s">
        <v>14</v>
      </c>
      <c r="U38" s="668">
        <f t="shared" si="13"/>
        <v>105</v>
      </c>
      <c r="V38" s="667" t="s">
        <v>14</v>
      </c>
      <c r="W38" s="668">
        <f t="shared" si="14"/>
        <v>100</v>
      </c>
      <c r="X38" s="1265"/>
      <c r="Y38" s="3405" t="s">
        <v>1696</v>
      </c>
      <c r="Z38" s="1264" t="str">
        <f t="shared" si="15"/>
        <v>业态</v>
      </c>
      <c r="AA38" s="1264">
        <f t="shared" si="3"/>
        <v>1</v>
      </c>
      <c r="AB38" s="1264">
        <f t="shared" si="4"/>
        <v>0.95238095238095233</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5">
      <c r="A42" s="409"/>
      <c r="B42" s="364" t="s">
        <v>1792</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538">
        <v>2</v>
      </c>
      <c r="L42" s="2491"/>
      <c r="M42" s="2486"/>
      <c r="N42" s="2486"/>
      <c r="O42" s="2486"/>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c r="A47" s="416" t="s">
        <v>1708</v>
      </c>
      <c r="B47" s="417"/>
      <c r="C47" s="1081" t="s">
        <v>0</v>
      </c>
      <c r="D47" s="418"/>
      <c r="E47" s="419">
        <f>E51</f>
        <v>5.84</v>
      </c>
      <c r="F47" s="420"/>
      <c r="G47" s="421">
        <v>6</v>
      </c>
      <c r="H47" s="422"/>
      <c r="I47" s="419">
        <f>I51</f>
        <v>5.84</v>
      </c>
      <c r="J47" s="422"/>
      <c r="K47" s="674"/>
      <c r="L47" s="2493"/>
      <c r="M47" s="2486" t="s">
        <v>3456</v>
      </c>
      <c r="N47" s="2486">
        <v>10</v>
      </c>
      <c r="O47" s="2486">
        <v>0.1</v>
      </c>
      <c r="P47" s="3398" t="str">
        <f>A47</f>
        <v>成交单价（元/平方米）</v>
      </c>
      <c r="Q47" s="3398"/>
      <c r="R47" s="3399">
        <f>E47</f>
        <v>5.84</v>
      </c>
      <c r="S47" s="3399"/>
      <c r="T47" s="3399">
        <f>G47</f>
        <v>6</v>
      </c>
      <c r="U47" s="3399"/>
      <c r="V47" s="3399">
        <f>I47</f>
        <v>5.84</v>
      </c>
      <c r="W47" s="3399"/>
      <c r="X47" s="385"/>
      <c r="Y47" s="673"/>
      <c r="Z47" s="385"/>
      <c r="AA47" s="385"/>
      <c r="AB47" s="385"/>
      <c r="AC47" s="385"/>
    </row>
    <row r="48" spans="1:29" ht="14.5" thickBot="1">
      <c r="A48" s="423" t="s">
        <v>1709</v>
      </c>
      <c r="B48" s="424"/>
      <c r="C48" s="1082">
        <f>R49</f>
        <v>5.5</v>
      </c>
      <c r="D48" s="2141" t="s">
        <v>2138</v>
      </c>
      <c r="E48" s="1083">
        <f>R48</f>
        <v>5.5</v>
      </c>
      <c r="F48" s="2142"/>
      <c r="G48" s="1082">
        <f>T48</f>
        <v>5.4</v>
      </c>
      <c r="H48" s="2142"/>
      <c r="I48" s="1083">
        <f>V48</f>
        <v>5.6</v>
      </c>
      <c r="J48" s="2142"/>
      <c r="K48" s="2144">
        <f>F48+H48+J48</f>
        <v>0</v>
      </c>
      <c r="L48" s="2493"/>
      <c r="M48" s="2486" t="s">
        <v>3457</v>
      </c>
      <c r="N48" s="2486">
        <v>90</v>
      </c>
      <c r="O48" s="2486">
        <v>0.9</v>
      </c>
      <c r="P48" s="3398" t="str">
        <f>A48</f>
        <v>比较价值（元/平方米）</v>
      </c>
      <c r="Q48" s="3398"/>
      <c r="R48" s="3399">
        <f>IF(F1="售价",ROUND(PRODUCT(R47,AA7:AA46),0),ROUND(PRODUCT(R47,AA7:AA46),1))</f>
        <v>5.5</v>
      </c>
      <c r="S48" s="3399"/>
      <c r="T48" s="3399">
        <f>IF(F1="售价",ROUND(PRODUCT(T47,AB7:AB46),0),ROUND(PRODUCT(T47,AB7:AB46),1))</f>
        <v>5.4</v>
      </c>
      <c r="U48" s="3399"/>
      <c r="V48" s="3399">
        <f>IF(F1="售价",ROUND(PRODUCT(V47,AC7:AC46),0),ROUND(PRODUCT(V47,AC7:AC46),1))</f>
        <v>5.6</v>
      </c>
      <c r="W48" s="3399"/>
      <c r="X48" s="385"/>
      <c r="Y48" s="385"/>
      <c r="Z48" s="385"/>
      <c r="AA48" s="385"/>
      <c r="AB48" s="385"/>
      <c r="AC48" s="385"/>
    </row>
    <row r="49" spans="1:29" ht="14.5" thickBot="1">
      <c r="A49" s="427" t="s">
        <v>1710</v>
      </c>
      <c r="B49" s="428"/>
      <c r="C49" s="351">
        <f>R49</f>
        <v>5.5</v>
      </c>
      <c r="D49" s="351"/>
      <c r="E49" s="351"/>
      <c r="F49" s="351"/>
      <c r="G49" s="351"/>
      <c r="H49" s="351"/>
      <c r="I49" s="351"/>
      <c r="J49" s="351"/>
      <c r="K49" s="675"/>
      <c r="L49" s="2493"/>
      <c r="M49" s="3179" t="s">
        <v>3478</v>
      </c>
      <c r="N49" s="2486">
        <v>100</v>
      </c>
      <c r="O49" s="2486">
        <f>O47*N29+O48*N30</f>
        <v>73</v>
      </c>
      <c r="P49" s="3395" t="str">
        <f>A49</f>
        <v>估价对象XX用房的比较价值（楼面单价，元/平方米）</v>
      </c>
      <c r="Q49" s="3396"/>
      <c r="R49" s="3397">
        <f>IF(F1="售价",ROUND(IF(D48="简单平均",AVERAGE(R48:V48),R48*F48+T48*H48+V48*J48),0),ROUND(IF(D48="简单平均",AVERAGE(R48:V48),R48*F48+T48*H48+V48*J48),1))</f>
        <v>5.5</v>
      </c>
      <c r="S49" s="3397"/>
      <c r="T49" s="3397"/>
      <c r="U49" s="3397"/>
      <c r="V49" s="3397"/>
      <c r="W49" s="3397"/>
      <c r="X49" s="385"/>
      <c r="Y49" s="385"/>
      <c r="Z49" s="385"/>
      <c r="AA49" s="385"/>
      <c r="AB49" s="385"/>
      <c r="AC49" s="385"/>
    </row>
    <row r="50" spans="1:29">
      <c r="A50" s="2486"/>
      <c r="B50" s="2486"/>
      <c r="C50" s="2486"/>
      <c r="D50" s="2486"/>
      <c r="E50" s="2486">
        <v>8</v>
      </c>
      <c r="F50" s="2486"/>
      <c r="G50" s="3181"/>
      <c r="H50" s="2486"/>
      <c r="I50" s="2486">
        <v>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ROUND(E50*$N$32/$N$29,2)</f>
        <v>5.84</v>
      </c>
      <c r="F51" s="2486"/>
      <c r="G51" s="2486">
        <f>ROUND(G50*$N$32/$N$29,0)</f>
        <v>0</v>
      </c>
      <c r="H51" s="2486"/>
      <c r="I51" s="2486">
        <f>ROUND(I50*$N$32/$N$29,2)</f>
        <v>5.84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6.1818181818181772E-2</v>
      </c>
      <c r="F52" s="435" t="str">
        <f>IF(OR(E52&gt;=0.3,E52&lt;=-0.3),"超过30%","")</f>
        <v/>
      </c>
      <c r="G52" s="434">
        <f>IF(G47&lt;G48,G48/G47-1,G47/G48-1)</f>
        <v>0.11111111111111094</v>
      </c>
      <c r="H52" s="435" t="str">
        <f>IF(OR(G52&gt;=0.3,G52&lt;=-0.3),"超过30%","")</f>
        <v/>
      </c>
      <c r="I52" s="434">
        <f>IF(I47&lt;I48,I48/I47-1,I47/I48-1)</f>
        <v>4.2857142857142927E-2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1.8518518518518379E-2</v>
      </c>
      <c r="F53" s="435" t="str">
        <f>IF(OR(E53&gt;=0.2,E53&lt;=-0.2),"超过20%","")</f>
        <v/>
      </c>
      <c r="G53" s="434">
        <f>IF(G48&lt;I48,I48/G48-1,G48/I48-1)</f>
        <v>3.7037037037036979E-2</v>
      </c>
      <c r="H53" s="435" t="str">
        <f>IF(OR(G53&gt;=0.2,G53&lt;=-0.2),"超过20%","")</f>
        <v/>
      </c>
      <c r="I53" s="434">
        <f>IF(I48&lt;E48,E48/I48-1,I48/E48-1)</f>
        <v>1.8181818181818077E-2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2.7397260273972712E-2</v>
      </c>
      <c r="F54" s="435" t="str">
        <f>IF(OR(E54&gt;=0.3,E54&lt;=-0.3),"超过30%","")</f>
        <v/>
      </c>
      <c r="G54" s="434">
        <f>IF(G47&lt;I47,I47/G47-1,G47/I47-1)</f>
        <v>2.7397260273972712E-2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1718</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00000000-0002-0000-2900-000000000000}">
      <formula1>"项目模式,单套模式"</formula1>
    </dataValidation>
    <dataValidation type="list" allowBlank="1" showInputMessage="1" showErrorMessage="1" sqref="D48" xr:uid="{00000000-0002-0000-2900-000001000000}">
      <formula1>"简单平均,加权平均"</formula1>
    </dataValidation>
    <dataValidation type="list" allowBlank="1" showInputMessage="1" showErrorMessage="1" sqref="F2" xr:uid="{00000000-0002-0000-2900-000002000000}">
      <formula1>估价方法</formula1>
    </dataValidation>
    <dataValidation type="list" allowBlank="1" showInputMessage="1" showErrorMessage="1" sqref="C2" xr:uid="{00000000-0002-0000-2900-000003000000}">
      <formula1>"需扣减承租人权益,——"</formula1>
    </dataValidation>
    <dataValidation type="list" allowBlank="1" showInputMessage="1" showErrorMessage="1" sqref="F1" xr:uid="{00000000-0002-0000-2900-000004000000}">
      <formula1>"售价,租金"</formula1>
    </dataValidation>
    <dataValidation type="list" allowBlank="1" showInputMessage="1" showErrorMessage="1" sqref="C22 E22 G22 I22" xr:uid="{00000000-0002-0000-2900-000005000000}">
      <formula1>基础设施水平</formula1>
    </dataValidation>
    <dataValidation type="list" allowBlank="1" showInputMessage="1" showErrorMessage="1" sqref="C16 E16 G16 I16" xr:uid="{00000000-0002-0000-2900-000006000000}">
      <formula1>商业繁华度</formula1>
    </dataValidation>
    <dataValidation type="list" allowBlank="1" showInputMessage="1" showErrorMessage="1" sqref="C8 E8 G8 I8" xr:uid="{00000000-0002-0000-2900-000007000000}">
      <formula1>商业交易情况</formula1>
    </dataValidation>
    <dataValidation type="list" allowBlank="1" showInputMessage="1" showErrorMessage="1" sqref="C39 E39 G39 I39" xr:uid="{00000000-0002-0000-2900-000008000000}">
      <formula1>商业层高</formula1>
    </dataValidation>
    <dataValidation type="list" allowBlank="1" showInputMessage="1" showErrorMessage="1" sqref="C38 E38 G38 I38" xr:uid="{00000000-0002-0000-2900-000009000000}">
      <formula1>商业业态</formula1>
    </dataValidation>
    <dataValidation type="list" allowBlank="1" showInputMessage="1" showErrorMessage="1" sqref="E9 G9 I9" xr:uid="{00000000-0002-0000-2900-00000A000000}">
      <formula1>商业用途</formula1>
    </dataValidation>
    <dataValidation type="list" allowBlank="1" showInputMessage="1" showErrorMessage="1" sqref="C42 E42 G42 I42" xr:uid="{00000000-0002-0000-2900-00000B000000}">
      <formula1>商业内部装修</formula1>
    </dataValidation>
    <dataValidation type="list" allowBlank="1" showInputMessage="1" showErrorMessage="1" sqref="C41 E41 G41 I41" xr:uid="{00000000-0002-0000-2900-00000C000000}">
      <formula1>商业进深比</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35 E35 G35 I35" xr:uid="{00000000-0002-0000-2900-00000E000000}">
      <formula1>商业公共部分装修</formula1>
    </dataValidation>
    <dataValidation type="list" allowBlank="1" showInputMessage="1" showErrorMessage="1" sqref="C34 E34 G34 I34" xr:uid="{00000000-0002-0000-2900-00000F000000}">
      <formula1>商业建筑结构</formula1>
    </dataValidation>
    <dataValidation type="list" allowBlank="1" showInputMessage="1" showErrorMessage="1" sqref="C32 E32 G32 I32" xr:uid="{00000000-0002-0000-2900-000010000000}">
      <formula1>商业类型</formula1>
    </dataValidation>
    <dataValidation type="list" allowBlank="1" showInputMessage="1" showErrorMessage="1" sqref="C28 E28 G28 I28" xr:uid="{00000000-0002-0000-2900-000011000000}">
      <formula1>商业楼层</formula1>
    </dataValidation>
    <dataValidation type="list" allowBlank="1" showInputMessage="1" showErrorMessage="1" sqref="C27 E27 G27 I27" xr:uid="{00000000-0002-0000-2900-000012000000}">
      <formula1>商业人流量</formula1>
    </dataValidation>
    <dataValidation type="list" allowBlank="1" showInputMessage="1" showErrorMessage="1" sqref="C25 E25 G25 I25" xr:uid="{00000000-0002-0000-2900-000013000000}">
      <formula1>商业临街状况</formula1>
    </dataValidation>
    <dataValidation type="list" allowBlank="1" showInputMessage="1" showErrorMessage="1" sqref="E24 G24 I24 C24" xr:uid="{00000000-0002-0000-2900-000014000000}">
      <formula1>环境</formula1>
    </dataValidation>
    <dataValidation type="list" allowBlank="1" showInputMessage="1" showErrorMessage="1" sqref="E18 G18 I18 C18" xr:uid="{00000000-0002-0000-2900-000015000000}">
      <formula1>交通便捷度</formula1>
    </dataValidation>
    <dataValidation type="list" allowBlank="1" showInputMessage="1" showErrorMessage="1" sqref="E20 I20 G20 C20" xr:uid="{00000000-0002-0000-2900-000016000000}">
      <formula1>公共配套设施</formula1>
    </dataValidation>
    <dataValidation type="list" allowBlank="1" showInputMessage="1" showErrorMessage="1" sqref="C43 E43 G43 I43" xr:uid="{00000000-0002-0000-2900-000017000000}">
      <formula1>内部装修维护情况</formula1>
    </dataValidation>
    <dataValidation type="list" allowBlank="1" showInputMessage="1" showErrorMessage="1" sqref="D1" xr:uid="{00000000-0002-0000-29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P7:R101"/>
  <sheetViews>
    <sheetView topLeftCell="F89" workbookViewId="0">
      <selection activeCell="A170" sqref="A170"/>
    </sheetView>
  </sheetViews>
  <sheetFormatPr defaultRowHeight="14"/>
  <sheetData>
    <row r="7" spans="16:18">
      <c r="P7">
        <v>559.39</v>
      </c>
      <c r="Q7">
        <v>64356</v>
      </c>
      <c r="R7" s="1405" t="s">
        <v>3499</v>
      </c>
    </row>
    <row r="8" spans="16:18">
      <c r="P8" s="1405"/>
    </row>
    <row r="10" spans="16:18">
      <c r="P10" s="1405" t="s">
        <v>3470</v>
      </c>
    </row>
    <row r="55" spans="17:17">
      <c r="Q55" s="1405" t="s">
        <v>3455</v>
      </c>
    </row>
    <row r="101" spans="17:17">
      <c r="Q101" s="1405" t="s">
        <v>3492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N6:P81"/>
  <sheetViews>
    <sheetView topLeftCell="A70" workbookViewId="0">
      <selection activeCell="A143" sqref="A143"/>
    </sheetView>
  </sheetViews>
  <sheetFormatPr defaultRowHeight="14"/>
  <sheetData>
    <row r="6" spans="15:16">
      <c r="O6" s="1405" t="s">
        <v>3502</v>
      </c>
      <c r="P6">
        <v>6</v>
      </c>
    </row>
    <row r="54" spans="14:14">
      <c r="N54" s="1405" t="s">
        <v>3455</v>
      </c>
    </row>
    <row r="81" spans="14:14">
      <c r="N81" s="1405" t="s">
        <v>3455</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45964</v>
      </c>
      <c r="B1" s="2928" t="s">
        <v>3376</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8" t="s">
        <v>2827</v>
      </c>
      <c r="S29" s="3509"/>
      <c r="T29" s="3509"/>
      <c r="U29" s="3509"/>
      <c r="V29" s="3509"/>
      <c r="W29" s="3509"/>
      <c r="X29" s="2895"/>
      <c r="Y29" s="3508" t="s">
        <v>2828</v>
      </c>
      <c r="Z29" s="3509"/>
      <c r="AA29" s="3509"/>
      <c r="AB29" s="3509"/>
      <c r="AC29" s="3509"/>
      <c r="AD29" s="3509"/>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1" t="s">
        <v>2839</v>
      </c>
      <c r="B1" s="3521"/>
      <c r="C1" s="3521"/>
      <c r="D1" s="3521"/>
      <c r="E1" s="3521"/>
      <c r="F1" s="3521"/>
      <c r="G1" s="352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2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6">
      <c r="A3" s="3198"/>
      <c r="B3" s="3198"/>
      <c r="C3" s="3198"/>
      <c r="D3" s="801" t="s">
        <v>925</v>
      </c>
      <c r="E3" s="801" t="s">
        <v>931</v>
      </c>
      <c r="F3" s="801" t="s">
        <v>925</v>
      </c>
      <c r="G3" s="801" t="s">
        <v>926</v>
      </c>
      <c r="H3" s="801" t="s">
        <v>925</v>
      </c>
      <c r="I3" s="801" t="s">
        <v>926</v>
      </c>
    </row>
    <row r="4" spans="1:9" ht="46.5">
      <c r="A4" s="1403" t="str">
        <f>项目基本情况!S2</f>
        <v>北京市海淀区学府树家园7号楼7-1号~7-5号1至2层7-3房地产</v>
      </c>
      <c r="B4" s="801">
        <f>项目基本情况!C17</f>
        <v>670.08</v>
      </c>
      <c r="C4" s="801">
        <f>项目基本情况!C18</f>
        <v>0</v>
      </c>
      <c r="D4" s="801">
        <f>结果表!D118</f>
        <v>0</v>
      </c>
      <c r="E4" s="801">
        <f>结果表!E118</f>
        <v>0</v>
      </c>
      <c r="F4" s="801">
        <f>结果表!F118</f>
        <v>0</v>
      </c>
      <c r="G4" s="801">
        <f>结果表!G118</f>
        <v>0</v>
      </c>
      <c r="H4" s="801">
        <f ca="1">结果表!H118</f>
        <v>2684</v>
      </c>
      <c r="I4" s="801">
        <f ca="1">结果表!I118</f>
        <v>40049</v>
      </c>
    </row>
    <row r="5" spans="1:9" ht="30" customHeight="1">
      <c r="A5" s="3198" t="s">
        <v>927</v>
      </c>
      <c r="B5" s="3198"/>
      <c r="C5" s="3198"/>
      <c r="D5" s="3198" t="str">
        <f>结果表!D119</f>
        <v>零元整</v>
      </c>
      <c r="E5" s="3198"/>
      <c r="F5" s="3198" t="str">
        <f>结果表!F119</f>
        <v>零元整</v>
      </c>
      <c r="G5" s="3198"/>
      <c r="H5" s="3198" t="str">
        <f ca="1">结果表!H119</f>
        <v>贰仟陆佰捌拾肆万元整</v>
      </c>
      <c r="I5" s="3198"/>
    </row>
    <row r="6" spans="1:9" ht="15.5">
      <c r="A6" s="3197" t="str">
        <f>结果表!A120</f>
        <v>估价师知悉的法定优先受偿款</v>
      </c>
      <c r="B6" s="3197"/>
      <c r="C6" s="3197"/>
      <c r="D6" s="3197">
        <f>结果表!D120</f>
        <v>0</v>
      </c>
      <c r="E6" s="3197"/>
      <c r="F6" s="3197"/>
      <c r="G6" s="3197"/>
      <c r="H6" s="3197"/>
      <c r="I6" s="3197"/>
    </row>
    <row r="7" spans="1:9" ht="15.5">
      <c r="A7" s="3198" t="s">
        <v>927</v>
      </c>
      <c r="B7" s="3198"/>
      <c r="C7" s="3198"/>
      <c r="D7" s="3199" t="str">
        <f>结果表!D121</f>
        <v>零元整</v>
      </c>
      <c r="E7" s="3200"/>
      <c r="F7" s="3200"/>
      <c r="G7" s="3200"/>
      <c r="H7" s="3200"/>
      <c r="I7" s="3201"/>
    </row>
    <row r="8" spans="1:9" ht="15.5">
      <c r="A8" s="3197" t="str">
        <f>结果表!A122</f>
        <v>房地产抵押价值</v>
      </c>
      <c r="B8" s="3197"/>
      <c r="C8" s="3197"/>
      <c r="D8" s="3197">
        <f ca="1">结果表!D122</f>
        <v>2684</v>
      </c>
      <c r="E8" s="3197"/>
      <c r="F8" s="3197"/>
      <c r="G8" s="3197"/>
      <c r="H8" s="3197"/>
      <c r="I8" s="3197"/>
    </row>
    <row r="9" spans="1:9" ht="15.5">
      <c r="A9" s="3198" t="s">
        <v>927</v>
      </c>
      <c r="B9" s="3198"/>
      <c r="C9" s="3198"/>
      <c r="D9" s="3198" t="str">
        <f ca="1">结果表!D123</f>
        <v>贰仟陆佰捌拾肆万元整</v>
      </c>
      <c r="E9" s="3198"/>
      <c r="F9" s="3198"/>
      <c r="G9" s="3198"/>
      <c r="H9" s="3198"/>
      <c r="I9" s="3198"/>
    </row>
    <row r="10" spans="1:9" ht="15.5">
      <c r="A10" s="3197" t="str">
        <f>结果表!A124</f>
        <v/>
      </c>
      <c r="B10" s="3197"/>
      <c r="C10" s="3197"/>
      <c r="D10" s="3197" t="str">
        <f>结果表!D124</f>
        <v>——</v>
      </c>
      <c r="E10" s="3197"/>
      <c r="F10" s="3197"/>
      <c r="G10" s="3197"/>
      <c r="H10" s="3197"/>
      <c r="I10" s="3197"/>
    </row>
    <row r="11" spans="1:9" ht="15.5">
      <c r="A11" s="3198" t="s">
        <v>927</v>
      </c>
      <c r="B11" s="3198"/>
      <c r="C11" s="3198"/>
      <c r="D11" s="3198" t="e">
        <f>结果表!D125</f>
        <v>#VALUE!</v>
      </c>
      <c r="E11" s="3198"/>
      <c r="F11" s="3198"/>
      <c r="G11" s="3198"/>
      <c r="H11" s="3198"/>
      <c r="I11" s="3198"/>
    </row>
    <row r="12" spans="1:9" ht="15.5">
      <c r="A12" s="3197" t="str">
        <f>结果表!A126</f>
        <v/>
      </c>
      <c r="B12" s="3197"/>
      <c r="C12" s="3197"/>
      <c r="D12" s="3197" t="str">
        <f>结果表!D126</f>
        <v>——</v>
      </c>
      <c r="E12" s="3197"/>
      <c r="F12" s="3197"/>
      <c r="G12" s="3197"/>
      <c r="H12" s="3197"/>
      <c r="I12" s="3197"/>
    </row>
    <row r="13" spans="1:9" ht="16" thickBot="1">
      <c r="A13" s="3195" t="s">
        <v>927</v>
      </c>
      <c r="B13" s="3195"/>
      <c r="C13" s="3195"/>
      <c r="D13" s="3195" t="e">
        <f>结果表!D127</f>
        <v>#VALUE!</v>
      </c>
      <c r="E13" s="3195"/>
      <c r="F13" s="3195"/>
      <c r="G13" s="3195"/>
      <c r="H13" s="3195"/>
      <c r="I13" s="3195"/>
    </row>
    <row r="14" spans="1:9" ht="14.5" thickTop="1">
      <c r="A14" s="3196" t="s">
        <v>932</v>
      </c>
      <c r="B14" s="3196"/>
      <c r="C14" s="3196"/>
      <c r="D14" s="3196"/>
      <c r="E14" s="3196"/>
      <c r="F14" s="3196"/>
      <c r="G14" s="3196"/>
      <c r="H14" s="3196"/>
      <c r="I14" s="3196"/>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0" t="s">
        <v>949</v>
      </c>
      <c r="B1" s="3210"/>
      <c r="C1" s="3210"/>
      <c r="D1" s="3210"/>
    </row>
    <row r="2" spans="1:4" ht="18">
      <c r="A2" s="3211" t="s">
        <v>933</v>
      </c>
      <c r="B2" s="3211"/>
      <c r="C2" s="3211"/>
      <c r="D2" s="3211"/>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1" t="s">
        <v>939</v>
      </c>
      <c r="B6" s="3211"/>
      <c r="C6" s="3211"/>
      <c r="D6" s="3211"/>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2" t="s">
        <v>942</v>
      </c>
      <c r="B11" s="3204"/>
      <c r="C11" s="3204"/>
      <c r="D11" s="3204"/>
    </row>
    <row r="12" spans="1:4" ht="15.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8" t="s">
        <v>956</v>
      </c>
      <c r="B15" s="3213" t="s">
        <v>109</v>
      </c>
      <c r="C15" s="3214"/>
    </row>
    <row r="16" spans="1:7" ht="14">
      <c r="A16" s="3219"/>
      <c r="B16" s="3213" t="s">
        <v>42</v>
      </c>
      <c r="C16" s="3214"/>
    </row>
    <row r="17" spans="1:3" ht="14">
      <c r="A17" s="3219"/>
      <c r="B17" s="3216" t="s">
        <v>957</v>
      </c>
      <c r="C17" s="1429" t="s">
        <v>956</v>
      </c>
    </row>
    <row r="18" spans="1:3" ht="14">
      <c r="A18" s="3219"/>
      <c r="B18" s="3216"/>
      <c r="C18" s="1429" t="s">
        <v>958</v>
      </c>
    </row>
    <row r="19" spans="1:3" ht="14">
      <c r="A19" s="3219"/>
      <c r="B19" s="3216"/>
      <c r="C19" s="1429" t="s">
        <v>959</v>
      </c>
    </row>
    <row r="20" spans="1:3" ht="14">
      <c r="A20" s="3220"/>
      <c r="B20" s="3215" t="s">
        <v>960</v>
      </c>
      <c r="C20" s="3214"/>
    </row>
    <row r="21" spans="1:3" ht="14">
      <c r="A21" s="1430" t="s">
        <v>961</v>
      </c>
      <c r="B21" s="1431"/>
      <c r="C21" s="1432"/>
    </row>
    <row r="22" spans="1:3" ht="14">
      <c r="A22" s="3217" t="s">
        <v>962</v>
      </c>
      <c r="B22" s="3215" t="s">
        <v>963</v>
      </c>
      <c r="C22" s="3214"/>
    </row>
    <row r="23" spans="1:3" ht="14">
      <c r="A23" s="3217"/>
      <c r="B23" s="3215" t="s">
        <v>964</v>
      </c>
      <c r="C23" s="3214"/>
    </row>
    <row r="24" spans="1:3" ht="14">
      <c r="A24" s="3217"/>
      <c r="B24" s="3215" t="s">
        <v>965</v>
      </c>
      <c r="C24" s="3214"/>
    </row>
    <row r="25" spans="1:3" ht="14">
      <c r="A25" s="3217"/>
      <c r="B25" s="3216" t="s">
        <v>966</v>
      </c>
      <c r="C25" s="1429" t="s">
        <v>967</v>
      </c>
    </row>
    <row r="26" spans="1:3" ht="14">
      <c r="A26" s="3217"/>
      <c r="B26" s="3216"/>
      <c r="C26" s="1429" t="s">
        <v>968</v>
      </c>
    </row>
    <row r="27" spans="1:3" ht="14">
      <c r="A27" s="3217"/>
      <c r="B27" s="3216"/>
      <c r="C27" s="1429" t="s">
        <v>969</v>
      </c>
    </row>
    <row r="28" spans="1:3" ht="14">
      <c r="A28" s="3217"/>
      <c r="B28" s="3216"/>
      <c r="C28" s="1429" t="s">
        <v>970</v>
      </c>
    </row>
    <row r="29" spans="1:3" ht="14">
      <c r="A29" s="3217"/>
      <c r="B29" s="3216"/>
      <c r="C29" s="1429" t="s">
        <v>971</v>
      </c>
    </row>
    <row r="30" spans="1:3" ht="14">
      <c r="A30" s="3217"/>
      <c r="B30" s="3216"/>
      <c r="C30" s="1429" t="s">
        <v>972</v>
      </c>
    </row>
    <row r="31" spans="1:3" ht="14">
      <c r="A31" s="3217"/>
      <c r="B31" s="3216"/>
      <c r="C31" s="1429" t="s">
        <v>973</v>
      </c>
    </row>
    <row r="32" spans="1:3" ht="14">
      <c r="A32" s="3217"/>
      <c r="B32" s="3216"/>
      <c r="C32" s="1429" t="s">
        <v>974</v>
      </c>
    </row>
    <row r="33" spans="1:3" ht="14">
      <c r="A33" s="3217"/>
      <c r="B33" s="3216"/>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收益法 (元)</vt:lpstr>
      <vt:lpstr>比较法-商业租金</vt:lpstr>
      <vt:lpstr>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2025-11-05T01:42:05Z</dcterms:modified>
</cp:coreProperties>
</file>