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吴琼\"/>
    </mc:Choice>
  </mc:AlternateContent>
  <xr:revisionPtr revIDLastSave="0" documentId="13_ncr:1_{171EB8F6-EBE2-4324-8D6C-4D6E6359D644}"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204" i="80" l="1"/>
  <c r="C36" i="33"/>
  <c r="E104" i="33"/>
  <c r="F104" i="33" s="1"/>
  <c r="G104" i="33" s="1"/>
  <c r="H104" i="33" s="1"/>
  <c r="D104" i="33"/>
  <c r="E89" i="33"/>
  <c r="F89" i="33" s="1"/>
  <c r="G89" i="33" s="1"/>
  <c r="D89" i="33"/>
  <c r="I7" i="33"/>
  <c r="G7" i="33"/>
  <c r="E7" i="33"/>
  <c r="C33" i="33"/>
  <c r="B14" i="74" l="1"/>
  <c r="J49" i="67"/>
  <c r="E33" i="80"/>
  <c r="P18" i="1"/>
  <c r="D33" i="43"/>
  <c r="Y6" i="1"/>
  <c r="B58" i="1"/>
  <c r="B21" i="1"/>
  <c r="N6" i="1"/>
  <c r="N19"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5" i="79"/>
  <c r="AD36" i="79"/>
  <c r="AD37" i="79"/>
  <c r="Z3" i="79"/>
  <c r="S35" i="79"/>
  <c r="AG35" i="79" s="1"/>
  <c r="S33" i="79"/>
  <c r="AG33" i="79" s="1"/>
  <c r="S34" i="79"/>
  <c r="AG34" i="79" s="1"/>
  <c r="W40" i="79"/>
  <c r="AK40" i="79" s="1"/>
  <c r="AH40"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C82" i="71"/>
  <c r="D82"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B57" i="35"/>
  <c r="B61" i="35"/>
  <c r="B59" i="35"/>
  <c r="B131" i="34"/>
  <c r="B129" i="34"/>
  <c r="B127" i="34"/>
  <c r="B99" i="34"/>
  <c r="J32" i="34" s="1"/>
  <c r="W32" i="34" s="1"/>
  <c r="B97" i="34"/>
  <c r="B95" i="34"/>
  <c r="B93" i="34"/>
  <c r="B75" i="34"/>
  <c r="J14" i="34" s="1"/>
  <c r="B73" i="34"/>
  <c r="B71" i="34"/>
  <c r="J12" i="34" s="1"/>
  <c r="W12" i="34" s="1"/>
  <c r="B130" i="33"/>
  <c r="B128" i="33"/>
  <c r="F45" i="33" s="1"/>
  <c r="S45" i="33" s="1"/>
  <c r="B126" i="33"/>
  <c r="B98" i="33"/>
  <c r="B96" i="33"/>
  <c r="B94" i="33"/>
  <c r="F29" i="33" s="1"/>
  <c r="S29" i="33" s="1"/>
  <c r="B74" i="33"/>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c r="B92" i="21"/>
  <c r="J28" i="21" s="1"/>
  <c r="W28" i="21" s="1"/>
  <c r="B90" i="21"/>
  <c r="J27" i="21" s="1"/>
  <c r="W27"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s="1"/>
  <c r="U31" i="35"/>
  <c r="U34" i="35"/>
  <c r="F36" i="34"/>
  <c r="J35" i="34"/>
  <c r="U34" i="34"/>
  <c r="H39" i="33"/>
  <c r="AB39" i="33" s="1"/>
  <c r="S40" i="33"/>
  <c r="H39" i="37"/>
  <c r="AB39" i="37" s="1"/>
  <c r="S27" i="35"/>
  <c r="F11" i="40"/>
  <c r="AA11" i="40" s="1"/>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S12" i="36" s="1"/>
  <c r="AA24" i="36"/>
  <c r="F34" i="36"/>
  <c r="S34" i="36" s="1"/>
  <c r="F14" i="35"/>
  <c r="AA14" i="35" s="1"/>
  <c r="F23" i="35"/>
  <c r="AA23" i="35" s="1"/>
  <c r="J32" i="35"/>
  <c r="AC32" i="35" s="1"/>
  <c r="J16" i="35"/>
  <c r="AC16" i="35" s="1"/>
  <c r="H16" i="35"/>
  <c r="U16" i="35"/>
  <c r="F16" i="35"/>
  <c r="S16" i="35" s="1"/>
  <c r="H14" i="35"/>
  <c r="AB14" i="35"/>
  <c r="J29" i="35"/>
  <c r="AC29" i="35" s="1"/>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H17" i="34"/>
  <c r="U17" i="34"/>
  <c r="F15" i="34"/>
  <c r="AA15" i="34" s="1"/>
  <c r="J15" i="34"/>
  <c r="H15" i="34"/>
  <c r="AB15" i="34" s="1"/>
  <c r="W8" i="34"/>
  <c r="J28" i="34"/>
  <c r="W28" i="34" s="1"/>
  <c r="F41" i="33"/>
  <c r="S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J31" i="33"/>
  <c r="W31" i="33"/>
  <c r="H31" i="33"/>
  <c r="F31" i="33"/>
  <c r="J45" i="33"/>
  <c r="W45" i="33" s="1"/>
  <c r="AA45" i="33"/>
  <c r="F14" i="34"/>
  <c r="H14" i="34"/>
  <c r="H30" i="34"/>
  <c r="F30" i="34"/>
  <c r="S30" i="34" s="1"/>
  <c r="J30" i="34"/>
  <c r="H32" i="34"/>
  <c r="F32" i="34"/>
  <c r="S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AA14" i="33" s="1"/>
  <c r="S14" i="33"/>
  <c r="J14" i="33"/>
  <c r="H30" i="33"/>
  <c r="AB30" i="33"/>
  <c r="F30" i="33"/>
  <c r="AA30" i="33" s="1"/>
  <c r="J30" i="33"/>
  <c r="H44" i="33"/>
  <c r="U44" i="33" s="1"/>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W13" i="35" s="1"/>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U46" i="33"/>
  <c r="J36" i="37"/>
  <c r="AC36" i="37" s="1"/>
  <c r="J10" i="36"/>
  <c r="AC10" i="36" s="1"/>
  <c r="W31" i="34"/>
  <c r="S11" i="36"/>
  <c r="AB46"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AZ546" i="3" s="1"/>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c r="BA510" i="3"/>
  <c r="AZ510" i="3" s="1"/>
  <c r="BA508" i="3"/>
  <c r="AZ508" i="3" s="1"/>
  <c r="BA506" i="3"/>
  <c r="BA504" i="3"/>
  <c r="AZ504" i="3" s="1"/>
  <c r="BA502" i="3"/>
  <c r="BA500" i="3"/>
  <c r="AZ500" i="3" s="1"/>
  <c r="BA498" i="3"/>
  <c r="AZ498" i="3" s="1"/>
  <c r="BA496" i="3"/>
  <c r="BA494" i="3"/>
  <c r="BA587" i="3"/>
  <c r="BA583" i="3"/>
  <c r="BA581" i="3"/>
  <c r="BA579" i="3"/>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c r="BQ535" i="3"/>
  <c r="BL535" i="3" s="1"/>
  <c r="AZ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AA13" i="33"/>
  <c r="AC3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86"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3" i="3"/>
  <c r="AZ241"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506" i="3"/>
  <c r="AZ496" i="3"/>
  <c r="G548" i="3"/>
  <c r="G538" i="3"/>
  <c r="G520" i="3"/>
  <c r="G502" i="3"/>
  <c r="BS5" i="3"/>
  <c r="BP5" i="3"/>
  <c r="BN5" i="3"/>
  <c r="BK5" i="3"/>
  <c r="BI5" i="3"/>
  <c r="BG5" i="3"/>
  <c r="BE5" i="3"/>
  <c r="BC5" i="3"/>
  <c r="G17" i="3"/>
  <c r="BA17" i="3"/>
  <c r="AZ17" i="3" s="1"/>
  <c r="BT5" i="3"/>
  <c r="AZ368" i="3"/>
  <c r="BA15" i="3"/>
  <c r="BB5" i="3"/>
  <c r="BR5" i="3"/>
  <c r="AZ392" i="3"/>
  <c r="G509" i="3"/>
  <c r="BL493" i="3"/>
  <c r="AZ493" i="3" s="1"/>
  <c r="U36" i="40"/>
  <c r="F83" i="43"/>
  <c r="H85" i="43" s="1"/>
  <c r="F50" i="43"/>
  <c r="H54" i="43" s="1"/>
  <c r="F72" i="43"/>
  <c r="H75" i="43" s="1"/>
  <c r="U17" i="39"/>
  <c r="S14" i="35"/>
  <c r="U43" i="21"/>
  <c r="U35" i="21"/>
  <c r="AC35" i="21"/>
  <c r="AC11" i="39"/>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56" i="3"/>
  <c r="AZ72" i="3"/>
  <c r="AZ82" i="3"/>
  <c r="AZ94"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K6" i="1"/>
  <c r="AP6" i="1" s="1"/>
  <c r="W27" i="34"/>
  <c r="AB34" i="36"/>
  <c r="U34" i="36"/>
  <c r="AB33" i="36"/>
  <c r="U33" i="36"/>
  <c r="AC12" i="39"/>
  <c r="W12" i="39"/>
  <c r="AC39" i="40"/>
  <c r="W39" i="40"/>
  <c r="AZ465" i="3"/>
  <c r="W12" i="33"/>
  <c r="AC12" i="33"/>
  <c r="AA32" i="36"/>
  <c r="S32" i="36"/>
  <c r="BL14" i="3"/>
  <c r="U30" i="33"/>
  <c r="AA47" i="34"/>
  <c r="W28" i="37"/>
  <c r="S19" i="39"/>
  <c r="F12" i="33"/>
  <c r="H12" i="39"/>
  <c r="U12" i="39" s="1"/>
  <c r="AB12" i="39"/>
  <c r="F39" i="40"/>
  <c r="BA14" i="3"/>
  <c r="AZ224" i="3"/>
  <c r="AZ254" i="3"/>
  <c r="AZ297" i="3"/>
  <c r="B12" i="1"/>
  <c r="E12" i="1" s="1"/>
  <c r="B10" i="1"/>
  <c r="E10" i="1" s="1"/>
  <c r="K12" i="1"/>
  <c r="M12" i="1" s="1"/>
  <c r="S13" i="1"/>
  <c r="AR13" i="1" s="1"/>
  <c r="R13" i="1"/>
  <c r="C42" i="1"/>
  <c r="C24" i="12" s="1"/>
  <c r="AC34" i="33"/>
  <c r="B41" i="1"/>
  <c r="F48" i="9" s="1"/>
  <c r="O52" i="9" s="1"/>
  <c r="AB37" i="40"/>
  <c r="S35" i="40"/>
  <c r="U35" i="40"/>
  <c r="W38" i="40"/>
  <c r="AA32" i="40"/>
  <c r="S17" i="40"/>
  <c r="S23" i="40"/>
  <c r="AC17" i="40"/>
  <c r="AC15" i="40"/>
  <c r="AA19"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U19" i="39"/>
  <c r="S17" i="39"/>
  <c r="S15" i="39"/>
  <c r="S9" i="39"/>
  <c r="U14" i="39"/>
  <c r="AC13" i="39"/>
  <c r="S23" i="36"/>
  <c r="U13" i="36"/>
  <c r="U26" i="36"/>
  <c r="AA26" i="36"/>
  <c r="AA34" i="36"/>
  <c r="AC26" i="36"/>
  <c r="AB14" i="36"/>
  <c r="U22" i="36"/>
  <c r="S16" i="36"/>
  <c r="S24" i="36"/>
  <c r="U23" i="36"/>
  <c r="AB20" i="36"/>
  <c r="U16" i="36"/>
  <c r="S14" i="36"/>
  <c r="W24" i="35"/>
  <c r="AB13" i="35"/>
  <c r="U29" i="35"/>
  <c r="U28" i="35"/>
  <c r="AB27" i="35"/>
  <c r="U36" i="35"/>
  <c r="U32" i="35"/>
  <c r="AA33" i="35"/>
  <c r="AC30" i="35"/>
  <c r="S32"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15" i="37"/>
  <c r="AC13" i="37"/>
  <c r="H10" i="37"/>
  <c r="AB10" i="37" s="1"/>
  <c r="F63" i="37"/>
  <c r="G63" i="37" s="1"/>
  <c r="H63" i="37" s="1"/>
  <c r="I63" i="37" s="1"/>
  <c r="J63" i="37" s="1"/>
  <c r="K63" i="37" s="1"/>
  <c r="L63" i="37" s="1"/>
  <c r="M63" i="37" s="1"/>
  <c r="F11" i="37"/>
  <c r="S11" i="37" s="1"/>
  <c r="AB8" i="34"/>
  <c r="AA33" i="34"/>
  <c r="U43" i="34"/>
  <c r="W41" i="34"/>
  <c r="AC42" i="34"/>
  <c r="AB35" i="34"/>
  <c r="U39" i="34"/>
  <c r="AB41" i="34"/>
  <c r="AA45" i="34"/>
  <c r="AA25" i="34"/>
  <c r="U28" i="34"/>
  <c r="S17" i="34"/>
  <c r="AA29" i="34"/>
  <c r="S23" i="34"/>
  <c r="U15" i="34"/>
  <c r="S13" i="34"/>
  <c r="H10" i="34"/>
  <c r="AB10" i="34" s="1"/>
  <c r="F11" i="34"/>
  <c r="S11" i="34" s="1"/>
  <c r="F70" i="34"/>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AC32" i="33" s="1"/>
  <c r="W43" i="33"/>
  <c r="F91" i="33"/>
  <c r="G91" i="33" s="1"/>
  <c r="H91" i="33" s="1"/>
  <c r="I91" i="33" s="1"/>
  <c r="J91" i="33" s="1"/>
  <c r="K91" i="33" s="1"/>
  <c r="L91" i="33" s="1"/>
  <c r="M91" i="33" s="1"/>
  <c r="F87" i="33"/>
  <c r="H25" i="33"/>
  <c r="AB25" i="33" s="1"/>
  <c r="F25" i="33"/>
  <c r="AA25" i="33" s="1"/>
  <c r="J23" i="33"/>
  <c r="AC23" i="33" s="1"/>
  <c r="F85" i="33"/>
  <c r="H23" i="33"/>
  <c r="U23" i="33" s="1"/>
  <c r="F81" i="33"/>
  <c r="G81" i="33" s="1"/>
  <c r="F19" i="33"/>
  <c r="S19" i="33" s="1"/>
  <c r="W19" i="33"/>
  <c r="J17" i="33"/>
  <c r="W17" i="33" s="1"/>
  <c r="F79" i="33"/>
  <c r="G79"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W27" i="40"/>
  <c r="S36" i="40"/>
  <c r="W37" i="40"/>
  <c r="AC14" i="40"/>
  <c r="S13" i="40"/>
  <c r="S33" i="40"/>
  <c r="AA15" i="40"/>
  <c r="U11" i="40"/>
  <c r="AB13"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8" i="37"/>
  <c r="W32" i="37"/>
  <c r="U36" i="37"/>
  <c r="U38" i="37"/>
  <c r="AB37" i="37"/>
  <c r="AC34" i="37"/>
  <c r="AA31" i="37"/>
  <c r="U19" i="37"/>
  <c r="AA29" i="37"/>
  <c r="U8" i="37"/>
  <c r="AB40" i="34"/>
  <c r="U19" i="34"/>
  <c r="W19"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AC35" i="34"/>
  <c r="W35" i="34"/>
  <c r="U12" i="34"/>
  <c r="AB12" i="34"/>
  <c r="AC37" i="33"/>
  <c r="W46" i="33"/>
  <c r="U39" i="33"/>
  <c r="U38" i="33"/>
  <c r="S33" i="33"/>
  <c r="S30" i="33"/>
  <c r="AC14" i="33"/>
  <c r="W14" i="33"/>
  <c r="AC30" i="33"/>
  <c r="W30" i="33"/>
  <c r="S31" i="33"/>
  <c r="AA31" i="33"/>
  <c r="W13" i="33"/>
  <c r="AC13" i="33"/>
  <c r="S44"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W35" i="33"/>
  <c r="AC35" i="33"/>
  <c r="J36" i="33"/>
  <c r="W36" i="33" s="1"/>
  <c r="H36" i="33"/>
  <c r="U36" i="33" s="1"/>
  <c r="G87" i="33"/>
  <c r="H87" i="33" s="1"/>
  <c r="I87" i="33" s="1"/>
  <c r="J87" i="33" s="1"/>
  <c r="K87" i="33" s="1"/>
  <c r="L87" i="33" s="1"/>
  <c r="M87" i="33" s="1"/>
  <c r="J25" i="33"/>
  <c r="W25" i="33" s="1"/>
  <c r="F23" i="33"/>
  <c r="G85" i="33"/>
  <c r="H19" i="33"/>
  <c r="U19" i="33" s="1"/>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AB19" i="33"/>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67"/>
  <c r="F38" i="67"/>
  <c r="E10" i="76"/>
  <c r="F9" i="67"/>
  <c r="B10" i="76"/>
  <c r="F43" i="67"/>
  <c r="F37" i="67"/>
  <c r="AO13" i="1"/>
  <c r="M26" i="67"/>
  <c r="E12" i="76"/>
  <c r="J15" i="67"/>
  <c r="F36" i="67"/>
  <c r="E7" i="76"/>
  <c r="M23" i="67"/>
  <c r="F6" i="67"/>
  <c r="E8" i="76"/>
  <c r="F42" i="67"/>
  <c r="B11" i="76"/>
  <c r="F16" i="67"/>
  <c r="F40" i="67"/>
  <c r="B13" i="76"/>
  <c r="F8" i="67"/>
  <c r="M8" i="67"/>
  <c r="D6" i="73"/>
  <c r="B12" i="76"/>
  <c r="E13" i="76"/>
  <c r="F4" i="73"/>
  <c r="L48" i="67"/>
  <c r="F5" i="73"/>
  <c r="F13" i="15"/>
  <c r="F43" i="15"/>
  <c r="M9" i="15"/>
  <c r="M24" i="67"/>
  <c r="B9" i="76"/>
  <c r="M22" i="67"/>
  <c r="F7" i="67"/>
  <c r="M29" i="15"/>
  <c r="L47" i="15"/>
  <c r="F40" i="15"/>
  <c r="E2" i="68"/>
  <c r="L47" i="67"/>
  <c r="C76" i="67"/>
  <c r="F26" i="67"/>
  <c r="F6" i="73"/>
  <c r="E11" i="76"/>
  <c r="F3" i="73"/>
  <c r="E2" i="69"/>
  <c r="M26" i="15"/>
  <c r="F20" i="31"/>
  <c r="F7" i="15"/>
  <c r="M29" i="67"/>
  <c r="B7" i="76"/>
  <c r="J15" i="15"/>
  <c r="E9" i="76"/>
  <c r="M6" i="67"/>
  <c r="M9" i="67"/>
  <c r="M24" i="15"/>
  <c r="B8" i="76"/>
  <c r="M8" i="15"/>
  <c r="F16" i="15"/>
  <c r="F38" i="15"/>
  <c r="F13" i="67"/>
  <c r="F42" i="15"/>
  <c r="F26" i="15"/>
  <c r="F7" i="73"/>
  <c r="F37" i="15"/>
  <c r="AA41" i="33" l="1"/>
  <c r="U41" i="33"/>
  <c r="U37" i="33"/>
  <c r="W39" i="33"/>
  <c r="S38" i="33"/>
  <c r="U32" i="33"/>
  <c r="W32" i="33"/>
  <c r="AB23" i="33"/>
  <c r="AC21" i="33"/>
  <c r="AA19" i="33"/>
  <c r="F27" i="33"/>
  <c r="AA27" i="33" s="1"/>
  <c r="J27" i="33"/>
  <c r="W27" i="33" s="1"/>
  <c r="H27" i="33"/>
  <c r="U27" i="33" s="1"/>
  <c r="W44" i="33"/>
  <c r="AB44" i="33"/>
  <c r="AA44" i="33"/>
  <c r="AB28" i="33"/>
  <c r="S28" i="33"/>
  <c r="AB36" i="33"/>
  <c r="W33" i="33"/>
  <c r="U11" i="33"/>
  <c r="S11" i="33"/>
  <c r="AC25" i="33"/>
  <c r="U25" i="33"/>
  <c r="S27" i="33"/>
  <c r="AC28" i="33"/>
  <c r="W8" i="33"/>
  <c r="U33" i="33"/>
  <c r="F52" i="9"/>
  <c r="F30" i="68"/>
  <c r="F48" i="68" s="1"/>
  <c r="F32" i="15"/>
  <c r="F60" i="15" s="1"/>
  <c r="F54" i="9"/>
  <c r="F28" i="67"/>
  <c r="D93" i="9"/>
  <c r="F32" i="67"/>
  <c r="F60" i="67" s="1"/>
  <c r="D68" i="9"/>
  <c r="F30" i="69"/>
  <c r="F48" i="69" s="1"/>
  <c r="F31" i="12"/>
  <c r="M18" i="15"/>
  <c r="M18" i="67"/>
  <c r="F30" i="11"/>
  <c r="C48" i="11" s="1"/>
  <c r="C21" i="68"/>
  <c r="C40" i="68"/>
  <c r="G29" i="6"/>
  <c r="W14" i="34"/>
  <c r="AC14" i="34"/>
  <c r="AZ16" i="3"/>
  <c r="J23" i="35"/>
  <c r="H23" i="35"/>
  <c r="AB19" i="40"/>
  <c r="AZ313" i="3"/>
  <c r="AZ394" i="3"/>
  <c r="AC36" i="34"/>
  <c r="AC28" i="34"/>
  <c r="AZ571" i="3"/>
  <c r="AZ579" i="3"/>
  <c r="S28" i="34"/>
  <c r="U40" i="33"/>
  <c r="F9" i="33"/>
  <c r="AA9" i="33" s="1"/>
  <c r="J9" i="33"/>
  <c r="H9" i="33"/>
  <c r="AC9" i="34"/>
  <c r="W9" i="34"/>
  <c r="F12" i="35"/>
  <c r="J12" i="35"/>
  <c r="AA17" i="33"/>
  <c r="S43" i="33"/>
  <c r="AC5" i="3"/>
  <c r="AC23" i="37"/>
  <c r="AC9" i="21"/>
  <c r="U9" i="21"/>
  <c r="S25" i="33"/>
  <c r="S36" i="33"/>
  <c r="S17" i="37"/>
  <c r="U21" i="39"/>
  <c r="AA15" i="21"/>
  <c r="AB42" i="21"/>
  <c r="U15" i="33"/>
  <c r="AC23" i="34"/>
  <c r="AA32" i="34"/>
  <c r="W33" i="34"/>
  <c r="AB33" i="34"/>
  <c r="AA40" i="34"/>
  <c r="S24" i="35"/>
  <c r="S23" i="39"/>
  <c r="S31" i="40"/>
  <c r="AB28" i="40"/>
  <c r="U29" i="34"/>
  <c r="W15" i="33"/>
  <c r="S43" i="34"/>
  <c r="U23" i="37"/>
  <c r="S23" i="35"/>
  <c r="AA25" i="36"/>
  <c r="W14" i="36"/>
  <c r="AC36" i="40"/>
  <c r="AZ14" i="3"/>
  <c r="AC13" i="34"/>
  <c r="AZ388" i="3"/>
  <c r="AZ345" i="3"/>
  <c r="AZ334" i="3"/>
  <c r="AZ372" i="3"/>
  <c r="AZ337" i="3"/>
  <c r="AZ123" i="3"/>
  <c r="AZ376" i="3"/>
  <c r="AZ309" i="3"/>
  <c r="AC12" i="37"/>
  <c r="W44" i="21"/>
  <c r="AC45" i="33"/>
  <c r="W47" i="34"/>
  <c r="H27" i="34"/>
  <c r="AZ529" i="3"/>
  <c r="AZ537" i="3"/>
  <c r="AZ518" i="3"/>
  <c r="AZ548" i="3"/>
  <c r="S14" i="34"/>
  <c r="AA14" i="34"/>
  <c r="AA12" i="36"/>
  <c r="W28" i="35"/>
  <c r="H12" i="35"/>
  <c r="AC22" i="35"/>
  <c r="W22" i="35"/>
  <c r="U23" i="21"/>
  <c r="AZ139" i="3"/>
  <c r="AZ306" i="3"/>
  <c r="AC17" i="33"/>
  <c r="S13" i="21"/>
  <c r="AA19" i="37"/>
  <c r="AB29" i="21"/>
  <c r="AB34" i="33"/>
  <c r="AB35" i="37"/>
  <c r="S40" i="37"/>
  <c r="S27" i="37"/>
  <c r="AB17" i="40"/>
  <c r="D120" i="9"/>
  <c r="S46" i="33"/>
  <c r="U42" i="33"/>
  <c r="AA35" i="33"/>
  <c r="AC39" i="34"/>
  <c r="W25" i="34"/>
  <c r="AA13" i="37"/>
  <c r="AA38" i="37"/>
  <c r="S20" i="35"/>
  <c r="AA36" i="35"/>
  <c r="AA25" i="35"/>
  <c r="AA22" i="36"/>
  <c r="S33" i="36"/>
  <c r="AA12" i="39"/>
  <c r="W19" i="39"/>
  <c r="AA34" i="33"/>
  <c r="AZ387" i="3"/>
  <c r="AZ370" i="3"/>
  <c r="AZ362" i="3"/>
  <c r="AZ338" i="3"/>
  <c r="AZ390" i="3"/>
  <c r="AZ371" i="3"/>
  <c r="AZ351" i="3"/>
  <c r="AZ336" i="3"/>
  <c r="AZ305" i="3"/>
  <c r="AZ155" i="3"/>
  <c r="AZ140" i="3"/>
  <c r="AZ360" i="3"/>
  <c r="AA36" i="39"/>
  <c r="AZ511" i="3"/>
  <c r="AZ557" i="3"/>
  <c r="AZ513" i="3"/>
  <c r="AZ575" i="3"/>
  <c r="AZ552" i="3"/>
  <c r="AB30" i="21"/>
  <c r="AC12" i="40"/>
  <c r="H45" i="33"/>
  <c r="S38" i="40"/>
  <c r="AA26" i="33"/>
  <c r="BL587" i="3"/>
  <c r="AZ587" i="3" s="1"/>
  <c r="BL586" i="3"/>
  <c r="AZ586" i="3" s="1"/>
  <c r="B101" i="43"/>
  <c r="B79" i="43"/>
  <c r="AC31" i="40"/>
  <c r="W31" i="40"/>
  <c r="U35" i="33"/>
  <c r="BL585" i="3"/>
  <c r="AZ585" i="3" s="1"/>
  <c r="B75" i="43"/>
  <c r="J26" i="33"/>
  <c r="H24" i="36"/>
  <c r="J12" i="36"/>
  <c r="J24" i="36"/>
  <c r="H38" i="40"/>
  <c r="BA400" i="3"/>
  <c r="AZ400" i="3" s="1"/>
  <c r="BA401" i="3"/>
  <c r="AZ406" i="3"/>
  <c r="W27" i="35"/>
  <c r="AA34" i="39"/>
  <c r="BL550" i="3"/>
  <c r="BL15" i="3"/>
  <c r="AZ15" i="3" s="1"/>
  <c r="BL399" i="3"/>
  <c r="BA404" i="3"/>
  <c r="BA405" i="3"/>
  <c r="G408" i="3"/>
  <c r="AZ469" i="3"/>
  <c r="BL16" i="3"/>
  <c r="BA403" i="3"/>
  <c r="AZ403" i="3" s="1"/>
  <c r="AZ573" i="3"/>
  <c r="AZ583" i="3"/>
  <c r="AZ568" i="3"/>
  <c r="AZ576" i="3"/>
  <c r="H26" i="33"/>
  <c r="C15" i="39"/>
  <c r="S31" i="35"/>
  <c r="U31" i="36"/>
  <c r="F39" i="37"/>
  <c r="S39" i="37" s="1"/>
  <c r="U30" i="37"/>
  <c r="J44" i="39"/>
  <c r="G587" i="3"/>
  <c r="F25" i="37"/>
  <c r="BA551" i="3"/>
  <c r="AZ551" i="3" s="1"/>
  <c r="BA550" i="3"/>
  <c r="AZ550" i="3" s="1"/>
  <c r="BL548" i="3"/>
  <c r="G399" i="3"/>
  <c r="AZ402" i="3"/>
  <c r="BA413" i="3"/>
  <c r="AZ413" i="3" s="1"/>
  <c r="AZ451" i="3"/>
  <c r="BL410" i="3"/>
  <c r="G412" i="3"/>
  <c r="G418" i="3"/>
  <c r="BA422" i="3"/>
  <c r="AZ422" i="3" s="1"/>
  <c r="G429" i="3"/>
  <c r="BL431" i="3"/>
  <c r="G433" i="3"/>
  <c r="BL434" i="3"/>
  <c r="BL438" i="3"/>
  <c r="BL439" i="3"/>
  <c r="AZ439" i="3" s="1"/>
  <c r="BA441" i="3"/>
  <c r="BL445" i="3"/>
  <c r="BL446" i="3"/>
  <c r="BL449" i="3"/>
  <c r="BL450" i="3"/>
  <c r="BL452" i="3"/>
  <c r="AZ452" i="3" s="1"/>
  <c r="G454" i="3"/>
  <c r="BL456" i="3"/>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L214" i="3"/>
  <c r="AZ214" i="3" s="1"/>
  <c r="BL435" i="3"/>
  <c r="BL436" i="3"/>
  <c r="AZ458" i="3"/>
  <c r="AZ462"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BA397" i="3"/>
  <c r="BL397" i="3"/>
  <c r="BA210" i="3"/>
  <c r="BL210" i="3"/>
  <c r="BL212" i="3"/>
  <c r="G214" i="3"/>
  <c r="BL220" i="3"/>
  <c r="BL221" i="3"/>
  <c r="BL223" i="3"/>
  <c r="BL225" i="3"/>
  <c r="BL22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AZ471" i="3" s="1"/>
  <c r="BA388" i="3"/>
  <c r="BA218" i="3"/>
  <c r="AZ218" i="3" s="1"/>
  <c r="BL218" i="3"/>
  <c r="BA229" i="3"/>
  <c r="BL229" i="3"/>
  <c r="G241" i="3"/>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A216" i="3"/>
  <c r="AZ216" i="3" s="1"/>
  <c r="BA225" i="3"/>
  <c r="BA228" i="3"/>
  <c r="BL230" i="3"/>
  <c r="G231" i="3"/>
  <c r="BL231" i="3"/>
  <c r="AZ125" i="3"/>
  <c r="BA130" i="3"/>
  <c r="BL130" i="3"/>
  <c r="BA137" i="3"/>
  <c r="AZ137" i="3" s="1"/>
  <c r="BL138" i="3"/>
  <c r="BA140" i="3"/>
  <c r="BA142" i="3"/>
  <c r="BL149" i="3"/>
  <c r="AZ149" i="3" s="1"/>
  <c r="BA152" i="3"/>
  <c r="AZ152" i="3" s="1"/>
  <c r="BA190" i="3"/>
  <c r="BA197" i="3"/>
  <c r="AZ197" i="3" s="1"/>
  <c r="BL217" i="3"/>
  <c r="AZ217" i="3" s="1"/>
  <c r="BA219" i="3"/>
  <c r="AZ219" i="3" s="1"/>
  <c r="BA221" i="3"/>
  <c r="BA223" i="3"/>
  <c r="AZ223" i="3" s="1"/>
  <c r="BL228" i="3"/>
  <c r="BA230" i="3"/>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G140" i="3"/>
  <c r="BL141" i="3"/>
  <c r="BL143" i="3"/>
  <c r="AZ143" i="3" s="1"/>
  <c r="G146" i="3"/>
  <c r="G147" i="3"/>
  <c r="G154" i="3"/>
  <c r="G156" i="3"/>
  <c r="BL157" i="3"/>
  <c r="AZ157" i="3" s="1"/>
  <c r="BL159" i="3"/>
  <c r="AZ159" i="3" s="1"/>
  <c r="G160" i="3"/>
  <c r="BL181" i="3"/>
  <c r="BA182" i="3"/>
  <c r="BL185" i="3"/>
  <c r="G186" i="3"/>
  <c r="BA201" i="3"/>
  <c r="AZ201" i="3" s="1"/>
  <c r="G204" i="3"/>
  <c r="BA226" i="3"/>
  <c r="BA237" i="3"/>
  <c r="AZ237" i="3" s="1"/>
  <c r="BL240" i="3"/>
  <c r="AZ240" i="3" s="1"/>
  <c r="BA242" i="3"/>
  <c r="AZ242" i="3" s="1"/>
  <c r="BL245" i="3"/>
  <c r="AZ245" i="3" s="1"/>
  <c r="BL255" i="3"/>
  <c r="AZ255" i="3" s="1"/>
  <c r="G257" i="3"/>
  <c r="BL257" i="3"/>
  <c r="AZ257" i="3" s="1"/>
  <c r="BL258" i="3"/>
  <c r="G259"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AZ301" i="3" s="1"/>
  <c r="BL302" i="3"/>
  <c r="AZ302" i="3" s="1"/>
  <c r="BA114" i="3"/>
  <c r="BL123" i="3"/>
  <c r="BL134" i="3"/>
  <c r="BA146" i="3"/>
  <c r="AZ146" i="3" s="1"/>
  <c r="BA150" i="3"/>
  <c r="AZ150" i="3" s="1"/>
  <c r="BL167" i="3"/>
  <c r="AZ167" i="3" s="1"/>
  <c r="G172" i="3"/>
  <c r="BA173" i="3"/>
  <c r="AZ173" i="3" s="1"/>
  <c r="BA174" i="3"/>
  <c r="BL179" i="3"/>
  <c r="AZ179" i="3" s="1"/>
  <c r="G180" i="3"/>
  <c r="BA181" i="3"/>
  <c r="AZ181" i="3" s="1"/>
  <c r="C55" i="71"/>
  <c r="D54" i="71"/>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AZ153" i="3" s="1"/>
  <c r="BL155" i="3"/>
  <c r="BA164" i="3"/>
  <c r="AZ164" i="3" s="1"/>
  <c r="BA166" i="3"/>
  <c r="AZ166" i="3" s="1"/>
  <c r="BL169" i="3"/>
  <c r="BL170" i="3"/>
  <c r="G171" i="3"/>
  <c r="BL177" i="3"/>
  <c r="AZ177" i="3" s="1"/>
  <c r="BA18" i="3"/>
  <c r="BL21" i="3"/>
  <c r="G23" i="3"/>
  <c r="AZ100" i="3"/>
  <c r="AB25" i="71"/>
  <c r="AB28" i="71"/>
  <c r="AB26" i="71"/>
  <c r="Y30" i="71"/>
  <c r="Z30" i="71" s="1"/>
  <c r="C34" i="71"/>
  <c r="Y28" i="71"/>
  <c r="Z28" i="71" s="1"/>
  <c r="Y27" i="71"/>
  <c r="Z27" i="71" s="1"/>
  <c r="Y26" i="71"/>
  <c r="Z26" i="71" s="1"/>
  <c r="AA3" i="71"/>
  <c r="BL29" i="3"/>
  <c r="G33" i="3"/>
  <c r="G34" i="3"/>
  <c r="BA37" i="3"/>
  <c r="BL39" i="3"/>
  <c r="G43" i="3"/>
  <c r="G44" i="3"/>
  <c r="BA45" i="3"/>
  <c r="AZ45" i="3" s="1"/>
  <c r="BA46" i="3"/>
  <c r="BL49" i="3"/>
  <c r="AZ49" i="3" s="1"/>
  <c r="BL50" i="3"/>
  <c r="AZ50" i="3" s="1"/>
  <c r="BL51" i="3"/>
  <c r="AZ51" i="3" s="1"/>
  <c r="BL53" i="3"/>
  <c r="BA56" i="3"/>
  <c r="BA57" i="3"/>
  <c r="AZ57" i="3" s="1"/>
  <c r="BL58" i="3"/>
  <c r="AZ58" i="3" s="1"/>
  <c r="G60" i="3"/>
  <c r="BA60" i="3"/>
  <c r="AZ60" i="3" s="1"/>
  <c r="BA63" i="3"/>
  <c r="G72" i="3"/>
  <c r="BL73" i="3"/>
  <c r="BA74" i="3"/>
  <c r="AZ74" i="3" s="1"/>
  <c r="BA87" i="3"/>
  <c r="BA89" i="3"/>
  <c r="BL101" i="3"/>
  <c r="BL102" i="3"/>
  <c r="AZ102" i="3" s="1"/>
  <c r="G105" i="3"/>
  <c r="BL106" i="3"/>
  <c r="BA108" i="3"/>
  <c r="AZ108" i="3" s="1"/>
  <c r="BL111" i="3"/>
  <c r="F40" i="69"/>
  <c r="C40" i="69"/>
  <c r="U21" i="33"/>
  <c r="AB21" i="33"/>
  <c r="AC18" i="35"/>
  <c r="W18" i="35"/>
  <c r="T44" i="71"/>
  <c r="P65" i="71"/>
  <c r="P66" i="71"/>
  <c r="F28" i="71"/>
  <c r="F27" i="71" s="1"/>
  <c r="F26" i="71" s="1"/>
  <c r="T40" i="71"/>
  <c r="D40" i="71"/>
  <c r="T76" i="71"/>
  <c r="D76" i="71"/>
  <c r="C75" i="71"/>
  <c r="C23" i="71"/>
  <c r="B22" i="71"/>
  <c r="B21" i="71" s="1"/>
  <c r="B20" i="71" s="1"/>
  <c r="BL178" i="3"/>
  <c r="BA180" i="3"/>
  <c r="AZ180" i="3" s="1"/>
  <c r="BL182" i="3"/>
  <c r="BA185" i="3"/>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G59" i="3"/>
  <c r="BL62" i="3"/>
  <c r="AZ62" i="3" s="1"/>
  <c r="BL63" i="3"/>
  <c r="G67" i="3"/>
  <c r="BL68" i="3"/>
  <c r="BA69" i="3"/>
  <c r="AZ69" i="3" s="1"/>
  <c r="BA73" i="3"/>
  <c r="AZ73" i="3" s="1"/>
  <c r="G81" i="3"/>
  <c r="BL85" i="3"/>
  <c r="BA86" i="3"/>
  <c r="AZ86" i="3" s="1"/>
  <c r="BL97" i="3"/>
  <c r="AZ97" i="3" s="1"/>
  <c r="G103" i="3"/>
  <c r="BA103" i="3"/>
  <c r="AZ103" i="3" s="1"/>
  <c r="BA104" i="3"/>
  <c r="BA106" i="3"/>
  <c r="BL108" i="3"/>
  <c r="W21" i="37"/>
  <c r="AC21" i="37"/>
  <c r="U21" i="37"/>
  <c r="AB21" i="34"/>
  <c r="U21" i="34"/>
  <c r="C86" i="71"/>
  <c r="D86" i="71" s="1"/>
  <c r="D87" i="71"/>
  <c r="Y29" i="71"/>
  <c r="Z29" i="71" s="1"/>
  <c r="B27" i="71"/>
  <c r="B26" i="71" s="1"/>
  <c r="S28" i="71"/>
  <c r="AA38" i="71"/>
  <c r="AA37" i="71"/>
  <c r="AA27" i="71"/>
  <c r="C67" i="71"/>
  <c r="T68" i="71"/>
  <c r="O68" i="71"/>
  <c r="S80" i="71"/>
  <c r="B79" i="71"/>
  <c r="B78" i="71"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0" i="3"/>
  <c r="BA109" i="3"/>
  <c r="BA111" i="3"/>
  <c r="K13" i="1"/>
  <c r="M13" i="1" s="1"/>
  <c r="O13" i="1" s="1"/>
  <c r="P13" i="1" s="1"/>
  <c r="W21" i="21"/>
  <c r="T32" i="71"/>
  <c r="D32" i="71"/>
  <c r="N66" i="71"/>
  <c r="AA28" i="71"/>
  <c r="C52" i="71"/>
  <c r="D51" i="71"/>
  <c r="X33" i="71"/>
  <c r="X34" i="71"/>
  <c r="X36" i="71"/>
  <c r="X35" i="71"/>
  <c r="AB37" i="71"/>
  <c r="AB35" i="71"/>
  <c r="F38" i="71"/>
  <c r="F39" i="71" s="1"/>
  <c r="F40" i="71" s="1"/>
  <c r="V40" i="71" s="1"/>
  <c r="C47" i="71"/>
  <c r="D47" i="71" s="1"/>
  <c r="D46" i="71"/>
  <c r="C63" i="71"/>
  <c r="X25" i="71"/>
  <c r="V24" i="71"/>
  <c r="E23" i="71"/>
  <c r="E22" i="71" s="1"/>
  <c r="E21" i="71" s="1"/>
  <c r="E20" i="71" s="1"/>
  <c r="E19" i="71" s="1"/>
  <c r="E18" i="71" s="1"/>
  <c r="E17" i="71" s="1"/>
  <c r="E16" i="71" s="1"/>
  <c r="X28" i="71"/>
  <c r="X32" i="7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U25" i="40"/>
  <c r="S21" i="34"/>
  <c r="B68" i="43"/>
  <c r="B88" i="43"/>
  <c r="D39" i="71"/>
  <c r="C27" i="71"/>
  <c r="D62" i="71"/>
  <c r="U68" i="71"/>
  <c r="D30" i="71"/>
  <c r="X31" i="71"/>
  <c r="F35" i="71"/>
  <c r="F36" i="71" s="1"/>
  <c r="V36" i="71" s="1"/>
  <c r="AA34" i="71"/>
  <c r="B51" i="71"/>
  <c r="B52" i="71" s="1"/>
  <c r="S52" i="71"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63" i="3"/>
  <c r="AZ489"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71" i="15"/>
  <c r="F66" i="67"/>
  <c r="L59" i="15"/>
  <c r="N59" i="15"/>
  <c r="M59" i="15"/>
  <c r="F66" i="15"/>
  <c r="Q71" i="67"/>
  <c r="C27" i="67"/>
  <c r="F71" i="67"/>
  <c r="C27" i="15"/>
  <c r="F65" i="15"/>
  <c r="N59" i="67"/>
  <c r="L59" i="67"/>
  <c r="L58" i="67"/>
  <c r="M59" i="67"/>
  <c r="B13" i="70"/>
  <c r="M7" i="67"/>
  <c r="J6" i="67" s="1"/>
  <c r="F50" i="67"/>
  <c r="F68" i="67"/>
  <c r="F64" i="67"/>
  <c r="F68" i="15"/>
  <c r="C36" i="68"/>
  <c r="D9" i="68"/>
  <c r="D9" i="69"/>
  <c r="C36" i="69"/>
  <c r="F8" i="15"/>
  <c r="M23" i="15"/>
  <c r="M6" i="15"/>
  <c r="C16" i="67"/>
  <c r="D4" i="73"/>
  <c r="M22" i="15"/>
  <c r="F6" i="15"/>
  <c r="D5" i="73"/>
  <c r="D3" i="73"/>
  <c r="D7" i="73"/>
  <c r="C16" i="15"/>
  <c r="L48" i="15"/>
  <c r="F9" i="15"/>
  <c r="M28" i="15"/>
  <c r="F36" i="15"/>
  <c r="C76" i="15"/>
  <c r="AC27" i="33" l="1"/>
  <c r="AB27" i="33"/>
  <c r="F26" i="43"/>
  <c r="H26" i="43"/>
  <c r="N370" i="46"/>
  <c r="Q16" i="1"/>
  <c r="E26" i="43"/>
  <c r="H16" i="1"/>
  <c r="G26" i="43"/>
  <c r="N94" i="46"/>
  <c r="P6" i="1"/>
  <c r="C13" i="12" s="1"/>
  <c r="K16" i="1"/>
  <c r="Q71" i="15"/>
  <c r="F64" i="15"/>
  <c r="J57" i="15"/>
  <c r="J55" i="15" s="1"/>
  <c r="J58" i="15" s="1"/>
  <c r="Q50" i="15" s="1"/>
  <c r="I54" i="15"/>
  <c r="J53" i="15"/>
  <c r="L56" i="15" s="1"/>
  <c r="L58" i="15"/>
  <c r="Q73" i="15" s="1"/>
  <c r="C6" i="15"/>
  <c r="F31" i="15"/>
  <c r="F51" i="15"/>
  <c r="C49" i="15" s="1"/>
  <c r="T52" i="71"/>
  <c r="D52" i="71"/>
  <c r="B19" i="71"/>
  <c r="B18" i="71" s="1"/>
  <c r="B17" i="71" s="1"/>
  <c r="B16" i="71" s="1"/>
  <c r="S20" i="71"/>
  <c r="AZ63" i="3"/>
  <c r="AA25" i="37"/>
  <c r="S25" i="37"/>
  <c r="U26" i="33"/>
  <c r="AB26" i="33"/>
  <c r="AZ404" i="3"/>
  <c r="AB38" i="40"/>
  <c r="U38" i="40"/>
  <c r="AC26" i="33"/>
  <c r="W26" i="33"/>
  <c r="U45" i="33"/>
  <c r="AB45" i="33"/>
  <c r="AB27" i="34"/>
  <c r="U27" i="34"/>
  <c r="W12" i="35"/>
  <c r="AC12" i="35"/>
  <c r="AB9" i="33"/>
  <c r="U9" i="33"/>
  <c r="C26" i="71"/>
  <c r="D26" i="71" s="1"/>
  <c r="D27" i="71"/>
  <c r="C64" i="71"/>
  <c r="D63" i="71"/>
  <c r="D67" i="71"/>
  <c r="C66" i="71"/>
  <c r="O67" i="71"/>
  <c r="C22" i="71"/>
  <c r="D23" i="71"/>
  <c r="AZ251" i="3"/>
  <c r="AZ247" i="3"/>
  <c r="AZ121" i="3"/>
  <c r="AZ274" i="3"/>
  <c r="AZ397" i="3"/>
  <c r="AZ464" i="3"/>
  <c r="AZ441" i="3"/>
  <c r="AC24" i="36"/>
  <c r="W24" i="36"/>
  <c r="AC9" i="33"/>
  <c r="W9" i="33"/>
  <c r="U23" i="35"/>
  <c r="AB23" i="35"/>
  <c r="J6" i="15"/>
  <c r="J18" i="15" s="1"/>
  <c r="D75" i="71"/>
  <c r="C74" i="71"/>
  <c r="D74" i="71" s="1"/>
  <c r="C56" i="71"/>
  <c r="D55" i="71"/>
  <c r="AZ126" i="3"/>
  <c r="AZ263" i="3"/>
  <c r="AZ190" i="3"/>
  <c r="AZ229" i="3"/>
  <c r="AC44" i="39"/>
  <c r="W44" i="39"/>
  <c r="AZ401" i="3"/>
  <c r="AC12" i="36"/>
  <c r="W12" i="36"/>
  <c r="D121" i="9"/>
  <c r="D7" i="52" s="1"/>
  <c r="D6" i="52"/>
  <c r="AC23" i="35"/>
  <c r="W23" i="35"/>
  <c r="G5" i="3"/>
  <c r="B3" i="3" s="1"/>
  <c r="E539" i="3" s="1"/>
  <c r="AZ42" i="3"/>
  <c r="AZ32" i="3"/>
  <c r="AZ36" i="3"/>
  <c r="AZ113" i="3"/>
  <c r="AZ142" i="3"/>
  <c r="AZ281" i="3"/>
  <c r="AZ482" i="3"/>
  <c r="AZ111" i="3"/>
  <c r="AZ28" i="3"/>
  <c r="AZ38" i="3"/>
  <c r="D34" i="71"/>
  <c r="C35" i="71"/>
  <c r="AZ249" i="3"/>
  <c r="AZ182" i="3"/>
  <c r="AZ271" i="3"/>
  <c r="AZ238" i="3"/>
  <c r="AZ230" i="3"/>
  <c r="AZ130" i="3"/>
  <c r="AZ228" i="3"/>
  <c r="AZ460" i="3"/>
  <c r="AZ415" i="3"/>
  <c r="AZ398" i="3"/>
  <c r="AZ210" i="3"/>
  <c r="AZ405" i="3"/>
  <c r="AB24" i="36"/>
  <c r="U24" i="36"/>
  <c r="U12" i="35"/>
  <c r="AB12" i="35"/>
  <c r="G16" i="1"/>
  <c r="F10" i="39" s="1"/>
  <c r="S10" i="39" s="1"/>
  <c r="J7" i="37"/>
  <c r="K1" i="73"/>
  <c r="E510" i="3"/>
  <c r="R6" i="3"/>
  <c r="E541" i="3"/>
  <c r="E449" i="3"/>
  <c r="E435" i="3"/>
  <c r="E417" i="3"/>
  <c r="E56" i="3"/>
  <c r="E241" i="3"/>
  <c r="E363" i="3"/>
  <c r="E76" i="3"/>
  <c r="E425" i="3"/>
  <c r="E103" i="3"/>
  <c r="E267" i="3"/>
  <c r="E23" i="3"/>
  <c r="E67" i="3"/>
  <c r="E144" i="3"/>
  <c r="E63" i="3"/>
  <c r="E81" i="3"/>
  <c r="E309" i="3"/>
  <c r="E21" i="3"/>
  <c r="E198" i="3"/>
  <c r="E281" i="3"/>
  <c r="AL6" i="3"/>
  <c r="E42" i="3"/>
  <c r="E75" i="3"/>
  <c r="E96" i="3"/>
  <c r="E129" i="3"/>
  <c r="E235" i="3"/>
  <c r="E522" i="3"/>
  <c r="E34" i="3"/>
  <c r="E206" i="3"/>
  <c r="E102" i="3"/>
  <c r="E113" i="3"/>
  <c r="E287" i="3"/>
  <c r="E205" i="3"/>
  <c r="E140" i="3"/>
  <c r="E173" i="3"/>
  <c r="E534" i="3"/>
  <c r="E405" i="3"/>
  <c r="E456" i="3"/>
  <c r="E408" i="3"/>
  <c r="E451" i="3"/>
  <c r="E360" i="3"/>
  <c r="E13" i="3"/>
  <c r="E452" i="3"/>
  <c r="E420" i="3"/>
  <c r="E104" i="3"/>
  <c r="E115" i="3"/>
  <c r="E225" i="3"/>
  <c r="E356" i="3"/>
  <c r="E428" i="3"/>
  <c r="E412" i="3"/>
  <c r="E190" i="3"/>
  <c r="E220" i="3"/>
  <c r="E324" i="3"/>
  <c r="E35" i="3"/>
  <c r="E49" i="3"/>
  <c r="E232" i="3"/>
  <c r="E80" i="3"/>
  <c r="E158" i="3"/>
  <c r="E326"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E3" i="6"/>
  <c r="M14" i="1"/>
  <c r="D5" i="43"/>
  <c r="F10" i="40"/>
  <c r="S10" i="40"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F27" i="69"/>
  <c r="AE6" i="1"/>
  <c r="G1" i="73"/>
  <c r="F41" i="67"/>
  <c r="F45" i="69" l="1"/>
  <c r="F59" i="15"/>
  <c r="H10" i="40"/>
  <c r="AB10" i="40" s="1"/>
  <c r="AA10" i="39"/>
  <c r="H10" i="39"/>
  <c r="U10" i="39" s="1"/>
  <c r="J10" i="40"/>
  <c r="AC10" i="40" s="1"/>
  <c r="Q52" i="15"/>
  <c r="F1" i="15"/>
  <c r="F28" i="12"/>
  <c r="C29" i="12" s="1"/>
  <c r="D28" i="12" s="1"/>
  <c r="C29" i="69"/>
  <c r="D27" i="69" s="1"/>
  <c r="C47" i="69"/>
  <c r="D45" i="69" s="1"/>
  <c r="F27" i="11"/>
  <c r="C29" i="11" s="1"/>
  <c r="D27" i="11" s="1"/>
  <c r="Q60" i="15"/>
  <c r="J5" i="15"/>
  <c r="J24" i="15" s="1"/>
  <c r="J10" i="39"/>
  <c r="W10" i="39" s="1"/>
  <c r="E83" i="3"/>
  <c r="E370" i="3"/>
  <c r="E342" i="3"/>
  <c r="E78" i="3"/>
  <c r="E243" i="3"/>
  <c r="E26" i="3"/>
  <c r="E497" i="3"/>
  <c r="E469" i="3"/>
  <c r="E525" i="3"/>
  <c r="E22" i="3"/>
  <c r="E251" i="3"/>
  <c r="E383" i="3"/>
  <c r="E18" i="3"/>
  <c r="E332" i="3"/>
  <c r="E513" i="3"/>
  <c r="E381" i="3"/>
  <c r="E300" i="3"/>
  <c r="E409" i="3"/>
  <c r="E192" i="3"/>
  <c r="I3" i="6"/>
  <c r="E199" i="3"/>
  <c r="E41" i="3"/>
  <c r="E470" i="3"/>
  <c r="E556" i="3"/>
  <c r="E512" i="3"/>
  <c r="T6" i="3"/>
  <c r="E197" i="3"/>
  <c r="E308" i="3"/>
  <c r="AF6" i="3"/>
  <c r="E86" i="3"/>
  <c r="E174" i="3"/>
  <c r="E482" i="3"/>
  <c r="E391" i="3"/>
  <c r="E494" i="3"/>
  <c r="E264" i="3"/>
  <c r="E233" i="3"/>
  <c r="E310" i="3"/>
  <c r="E64" i="3"/>
  <c r="E389" i="3"/>
  <c r="E95" i="3"/>
  <c r="E554" i="3"/>
  <c r="E442" i="3"/>
  <c r="E536" i="3"/>
  <c r="E575" i="3"/>
  <c r="R36" i="36"/>
  <c r="C36" i="71"/>
  <c r="D35" i="71"/>
  <c r="E355" i="3"/>
  <c r="E33" i="3"/>
  <c r="E492" i="3"/>
  <c r="E249" i="3"/>
  <c r="E46" i="3"/>
  <c r="E484" i="3"/>
  <c r="E544" i="3"/>
  <c r="E292" i="3"/>
  <c r="E152" i="3"/>
  <c r="E479" i="3"/>
  <c r="E517" i="3"/>
  <c r="E255" i="3"/>
  <c r="E466" i="3"/>
  <c r="E499" i="3"/>
  <c r="E212" i="3"/>
  <c r="C21" i="71"/>
  <c r="D22" i="71"/>
  <c r="T64" i="71"/>
  <c r="D64" i="71"/>
  <c r="E283" i="3"/>
  <c r="E68" i="3"/>
  <c r="E184" i="3"/>
  <c r="E84" i="3"/>
  <c r="E371" i="3"/>
  <c r="E160" i="3"/>
  <c r="E467" i="3"/>
  <c r="E59" i="3"/>
  <c r="E349" i="3"/>
  <c r="E258" i="3"/>
  <c r="E37" i="3"/>
  <c r="E491" i="3"/>
  <c r="AP6" i="3"/>
  <c r="E430" i="3"/>
  <c r="E502" i="3"/>
  <c r="E286" i="3"/>
  <c r="D56" i="71"/>
  <c r="T56"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C47" i="11" l="1"/>
  <c r="D45" i="11" s="1"/>
  <c r="AC6" i="3"/>
  <c r="E6" i="3" s="1"/>
  <c r="D116" i="43"/>
  <c r="F25" i="12"/>
  <c r="C26" i="12" s="1"/>
  <c r="D25" i="12" s="1"/>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7" i="15"/>
  <c r="C14" i="67"/>
  <c r="C26" i="68" l="1"/>
  <c r="D22" i="68" s="1"/>
  <c r="C23" i="68"/>
  <c r="F41" i="68"/>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5"/>
  <c r="D2" i="34"/>
  <c r="L51" i="15"/>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6" i="1"/>
  <c r="AO12" i="1"/>
  <c r="AO11" i="1"/>
  <c r="AO8" i="1"/>
  <c r="AO9" i="1"/>
  <c r="AO7"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C105" i="9" l="1"/>
  <c r="E14" i="74"/>
  <c r="F118" i="9"/>
  <c r="H102" i="9"/>
  <c r="I4" i="52"/>
  <c r="E118" i="9"/>
  <c r="H118" i="9"/>
  <c r="D14" i="74" s="1"/>
  <c r="G14" i="74" s="1"/>
  <c r="B6" i="74" s="1"/>
  <c r="D6" i="74" s="1"/>
  <c r="B5" i="74" l="1"/>
  <c r="D5" i="74" s="1"/>
  <c r="F14" i="74"/>
  <c r="D118" i="9"/>
  <c r="E4" i="52"/>
  <c r="B48" i="72" s="1"/>
  <c r="C5" i="74"/>
  <c r="D7" i="53"/>
  <c r="B21" i="72" s="1"/>
  <c r="C104" i="9"/>
  <c r="H101" i="9"/>
  <c r="H119" i="9"/>
  <c r="H5" i="52" s="1"/>
  <c r="H4" i="52"/>
  <c r="F4" i="52"/>
  <c r="B51" i="72" s="1"/>
  <c r="F119" i="9"/>
  <c r="F5" i="52" s="1"/>
  <c r="B53" i="72" s="1"/>
  <c r="M48" i="9" l="1"/>
  <c r="D5" i="53"/>
  <c r="D45" i="9"/>
  <c r="H107" i="9"/>
  <c r="D4" i="52"/>
  <c r="B47" i="72" s="1"/>
  <c r="D119" i="9"/>
  <c r="D5" i="52" s="1"/>
  <c r="B49" i="72" s="1"/>
  <c r="C93" i="9" l="1"/>
  <c r="C86" i="9" s="1"/>
  <c r="C85" i="9"/>
  <c r="D52" i="9"/>
  <c r="C78" i="9"/>
  <c r="C73" i="9" s="1"/>
  <c r="D53" i="9"/>
  <c r="C72" i="9"/>
  <c r="C64" i="9"/>
  <c r="C63" i="9" s="1"/>
  <c r="C67" i="9" s="1"/>
  <c r="D55" i="9"/>
  <c r="M53" i="9" s="1"/>
  <c r="D122" i="9"/>
  <c r="D13" i="53"/>
  <c r="H108" i="9"/>
  <c r="M49" i="9"/>
  <c r="D6" i="53"/>
  <c r="B22" i="72" s="1"/>
  <c r="B20" i="72"/>
  <c r="L65" i="9" l="1"/>
  <c r="M65" i="9" s="1"/>
  <c r="L67" i="9"/>
  <c r="M67" i="9" s="1"/>
  <c r="L66" i="9"/>
  <c r="M66" i="9" s="1"/>
  <c r="L63" i="9"/>
  <c r="M63" i="9" s="1"/>
  <c r="L68" i="9"/>
  <c r="M68" i="9" s="1"/>
  <c r="L64" i="9"/>
  <c r="M64" i="9" s="1"/>
  <c r="C6" i="74"/>
  <c r="D15" i="53"/>
  <c r="B31" i="72" s="1"/>
  <c r="D59" i="9"/>
  <c r="M55" i="9" s="1"/>
  <c r="C68" i="9"/>
  <c r="D54" i="9" s="1"/>
  <c r="D14" i="53"/>
  <c r="B32" i="72" s="1"/>
  <c r="B30" i="72"/>
  <c r="C79" i="9"/>
  <c r="C95" i="9"/>
  <c r="D123" i="9"/>
  <c r="D9" i="52" s="1"/>
  <c r="D8" i="52"/>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<sst xmlns="http://schemas.openxmlformats.org/spreadsheetml/2006/main" count="7952" uniqueCount="3485">
  <si>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</si>
  <si>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</si>
  <si>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</si>
  <si>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</si>
  <si>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</si>
  <si>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</si>
  <si>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</si>
  <si>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</si>
  <si>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</si>
  <si>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</si>
  <si>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</si>
  <si>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</si>
  <si>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</si>
  <si>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</si>
  <si>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</si>
  <si>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</si>
  <si>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</si>
  <si>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</si>
  <si>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</si>
  <si>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</si>
  <si>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</si>
  <si>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</si>
  <si>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</si>
  <si>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</si>
  <si>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</si>
  <si>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</si>
  <si>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</si>
  <si>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</si>
  <si>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</si>
  <si>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</si>
  <si>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</si>
  <si>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</si>
  <si>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</si>
  <si>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</si>
  <si>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</si>
  <si>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</si>
  <si>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</si>
  <si>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</si>
  <si>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</si>
  <si>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</si>
  <si>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</si>
  <si>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</si>
  <si>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</si>
  <si>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</si>
  <si>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</si>
  <si>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</si>
  <si>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</si>
  <si>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</si>
  <si>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</si>
  <si>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</si>
  <si>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</si>
  <si>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</si>
  <si>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</si>
  <si>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</si>
  <si>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</si>
  <si>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</si>
  <si>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</si>
  <si>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</si>
  <si>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</si>
  <si>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</si>
  <si>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</si>
  <si>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</si>
  <si>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</si>
  <si>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</si>
  <si>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</si>
  <si>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</si>
  <si>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</si>
  <si>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</si>
  <si>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</si>
  <si>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</si>
  <si>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</si>
  <si>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</si>
  <si>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</si>
  <si>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</si>
  <si>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</si>
  <si>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</si>
  <si>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</si>
  <si>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</si>
  <si>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</si>
  <si>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</si>
  <si>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</si>
  <si>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</si>
  <si>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</si>
  <si>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</si>
  <si>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</si>
  <si>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</si>
  <si>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</si>
  <si>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</si>
  <si>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</si>
  <si>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</si>
  <si>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</si>
  <si>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</si>
  <si>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</si>
  <si>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</si>
  <si>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</si>
  <si>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</si>
  <si>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</si>
  <si>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</si>
  <si>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</si>
  <si>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</si>
  <si>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</si>
  <si>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</si>
  <si>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</si>
  <si>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</si>
  <si>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</si>
  <si>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</si>
  <si>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</si>
  <si>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</si>
  <si>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</si>
  <si>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</si>
  <si>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</si>
  <si>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</si>
  <si>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</si>
  <si>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</si>
  <si>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</si>
  <si>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</si>
  <si>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</si>
  <si>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</si>
  <si>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</si>
  <si>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</si>
  <si>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</si>
  <si>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</si>
  <si>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</si>
  <si>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</si>
  <si>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</si>
  <si>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</si>
  <si>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</si>
  <si>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</si>
  <si>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</si>
  <si>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</si>
  <si>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</si>
  <si>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</si>
  <si>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</si>
  <si>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</si>
  <si>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</si>
  <si>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</si>
  <si>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</si>
  <si>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</si>
  <si>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</si>
  <si>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</si>
  <si>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</si>
  <si>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</si>
  <si>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</si>
  <si>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</si>
  <si>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</si>
  <si>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</si>
  <si>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</si>
  <si>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</si>
  <si>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</si>
  <si>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</si>
  <si>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</si>
  <si>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</si>
  <si>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</si>
  <si>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</si>
  <si>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</si>
  <si>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</si>
  <si>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</si>
  <si>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</si>
  <si>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</si>
  <si>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</si>
  <si>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</si>
  <si>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</si>
  <si>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</si>
  <si>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</si>
  <si>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</si>
  <si>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</si>
  <si>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</si>
  <si>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</si>
  <si>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</si>
  <si>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</si>
  <si>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</si>
  <si>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</si>
  <si>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</si>
  <si>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</si>
  <si>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</si>
  <si>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</si>
  <si>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</si>
  <si>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</si>
  <si>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</si>
  <si>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</si>
  <si>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</si>
  <si>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</si>
  <si>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</si>
  <si>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</si>
  <si>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</si>
  <si>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</si>
  <si>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</si>
  <si>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</si>
  <si>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</si>
  <si>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</si>
  <si>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</si>
  <si>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</si>
  <si>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</si>
  <si>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</si>
  <si>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</si>
  <si>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</si>
  <si>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</si>
  <si>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</si>
  <si>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</si>
  <si>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</si>
  <si>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</si>
  <si>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</si>
  <si>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</si>
  <si>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</si>
  <si>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</si>
  <si>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</si>
  <si>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</si>
  <si>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</si>
  <si>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</si>
  <si>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</si>
  <si>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</si>
  <si>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</si>
  <si>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</si>
  <si>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</si>
  <si>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</si>
  <si>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</si>
  <si>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</si>
  <si>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</si>
  <si>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</si>
  <si>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</si>
  <si>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</si>
  <si>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</si>
  <si>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</si>
  <si>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</si>
  <si>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</si>
  <si>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</si>
  <si>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</si>
  <si>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</si>
  <si>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</si>
  <si>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</si>
  <si>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</si>
  <si>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</si>
  <si>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</si>
  <si>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</si>
  <si>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</si>
  <si>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</si>
  <si>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</si>
  <si>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</si>
  <si>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</si>
  <si>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</si>
  <si>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</si>
  <si>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</si>
  <si>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</si>
  <si>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</si>
  <si>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</si>
  <si>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</si>
  <si>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</si>
  <si>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</si>
  <si>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</si>
  <si>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</si>
  <si>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</si>
  <si>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</si>
  <si>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</si>
  <si>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</si>
  <si>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</si>
  <si>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</si>
  <si>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</si>
  <si>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</si>
  <si>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</si>
  <si>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</si>
  <si>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</si>
  <si>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</si>
  <si>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</si>
  <si>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</si>
  <si>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</si>
  <si>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</si>
  <si>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</si>
  <si>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</si>
  <si>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</si>
  <si>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</si>
  <si>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</si>
  <si>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</si>
  <si>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</si>
  <si>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</si>
  <si>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</si>
  <si>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</si>
  <si>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</si>
  <si>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</si>
  <si>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</si>
  <si>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</si>
  <si>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</si>
  <si>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</si>
  <si>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</si>
  <si>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</si>
  <si>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</si>
  <si>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</si>
  <si>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</si>
  <si>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</si>
  <si>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</si>
  <si>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</si>
  <si>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</si>
  <si>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</si>
  <si>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</si>
  <si>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</si>
  <si>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</si>
  <si>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</si>
  <si>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</si>
  <si>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</si>
  <si>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</si>
  <si>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</si>
  <si>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</si>
  <si>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</si>
  <si>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</si>
  <si>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</si>
  <si>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</si>
  <si>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</si>
  <si>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</si>
  <si>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</si>
  <si>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</si>
  <si>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</si>
  <si>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</si>
  <si>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</si>
  <si>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</si>
  <si>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</si>
  <si>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</si>
  <si>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</si>
  <si>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</si>
  <si>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</si>
  <si>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</si>
  <si>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</si>
  <si>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</si>
  <si>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</si>
  <si>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</si>
  <si>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</si>
  <si>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</si>
  <si>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</si>
  <si>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</si>
  <si>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</si>
  <si>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</si>
  <si>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</si>
  <si>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</si>
  <si>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</si>
  <si>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</si>
  <si>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</si>
  <si>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</si>
  <si>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</si>
  <si>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</si>
  <si>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</si>
  <si>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</si>
  <si>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</si>
  <si>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</si>
  <si>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</si>
  <si>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</si>
  <si>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</si>
  <si>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</si>
  <si>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</si>
  <si>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</si>
  <si>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</si>
  <si>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</si>
  <si>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</si>
  <si>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</si>
  <si>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</si>
  <si>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</si>
  <si>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</si>
  <si>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</si>
  <si>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</si>
  <si>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</si>
  <si>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</si>
  <si>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</si>
  <si>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</si>
  <si>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</si>
  <si>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</si>
  <si>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</si>
  <si>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</si>
  <si>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</si>
  <si>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</si>
  <si>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</si>
  <si>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</si>
  <si>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</si>
  <si>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</si>
  <si>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</si>
  <si>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</si>
  <si>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</si>
  <si>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</si>
  <si>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</si>
  <si>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</si>
  <si>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</si>
  <si>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</si>
  <si>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</si>
  <si>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</si>
  <si>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</si>
  <si>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</si>
  <si>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</si>
  <si>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</si>
  <si>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</si>
  <si>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</si>
  <si>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</si>
  <si>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</si>
  <si>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</si>
  <si>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</si>
  <si>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</si>
  <si>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</si>
  <si>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</si>
  <si>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</si>
  <si>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</si>
  <si>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</si>
  <si>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</si>
  <si>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</si>
  <si>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</si>
  <si>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</si>
  <si>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</si>
  <si>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</si>
  <si>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</si>
  <si>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</si>
  <si>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</si>
  <si>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</si>
  <si>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</si>
  <si>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</si>
  <si>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</si>
  <si>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</si>
  <si>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</si>
  <si>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</si>
  <si>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</si>
  <si>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</si>
  <si>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</si>
  <si>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</si>
  <si>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</si>
  <si>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</si>
  <si>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</si>
  <si>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</si>
  <si>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</si>
  <si>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</si>
  <si>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</si>
  <si>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</si>
  <si>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</si>
  <si>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</si>
  <si>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</si>
  <si>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</si>
  <si>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</si>
  <si>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</si>
  <si>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</si>
  <si>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</si>
  <si>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</si>
  <si>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</si>
  <si>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</si>
  <si>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</si>
  <si>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</si>
  <si>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</si>
  <si>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</si>
  <si>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</si>
  <si>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</si>
  <si>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</si>
  <si>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</si>
  <si>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</si>
  <si>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</si>
  <si>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</si>
  <si>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</si>
  <si>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</si>
  <si>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</si>
  <si>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</si>
  <si>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</si>
  <si>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</si>
  <si>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</si>
  <si>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</si>
  <si>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</si>
  <si>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</si>
  <si>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</si>
  <si>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</si>
  <si>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</si>
  <si>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</si>
  <si>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</si>
  <si>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</si>
  <si>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</si>
  <si>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</si>
  <si>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</si>
  <si>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</si>
  <si>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</si>
  <si>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</si>
  <si>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</si>
  <si>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</si>
  <si>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</si>
  <si>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</si>
  <si>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</si>
  <si>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</si>
  <si>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</si>
  <si>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</si>
  <si>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</si>
  <si>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</si>
  <si>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</si>
  <si>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</si>
  <si>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</si>
  <si>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</si>
  <si>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</si>
  <si>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</si>
  <si>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</si>
  <si>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</si>
  <si>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</si>
  <si>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</si>
  <si>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</si>
  <si>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</si>
  <si>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</si>
  <si>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</si>
  <si>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</si>
  <si>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</si>
  <si>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</si>
  <si>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</si>
  <si>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</si>
  <si>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</si>
  <si>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</si>
  <si>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</si>
  <si>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</si>
  <si>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</si>
  <si>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</si>
  <si>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</si>
  <si>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</si>
  <si>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</si>
  <si>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</si>
  <si>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</si>
  <si>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</si>
  <si>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</si>
  <si>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</si>
  <si>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</si>
  <si>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</si>
  <si>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</si>
  <si>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</si>
  <si>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</si>
  <si>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</si>
  <si>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</si>
  <si>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</si>
  <si>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</si>
  <si>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</si>
  <si>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</si>
  <si>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</si>
  <si>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</si>
  <si>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</si>
  <si>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</si>
  <si>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</si>
  <si>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</si>
  <si>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</si>
  <si>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</si>
  <si>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</si>
  <si>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</si>
  <si>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</si>
  <si>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</si>
  <si>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</si>
  <si>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</si>
  <si>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</si>
  <si>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</si>
  <si>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</si>
  <si>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</si>
  <si>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</si>
  <si>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</si>
  <si>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</si>
  <si>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</si>
  <si>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</si>
  <si>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</si>
  <si>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</si>
  <si>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</si>
  <si>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</si>
  <si>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</si>
  <si>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</si>
  <si>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</si>
  <si>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</si>
  <si>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</si>
  <si>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</si>
  <si>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</si>
  <si>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</si>
  <si>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</si>
  <si>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</si>
  <si>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</si>
  <si>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</si>
  <si>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</si>
  <si>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</si>
  <si>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</si>
  <si>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</si>
  <si>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</si>
  <si>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</si>
  <si>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</si>
  <si>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</si>
  <si>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</si>
  <si>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</si>
  <si>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</si>
  <si>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</si>
  <si>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</si>
  <si>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</si>
  <si>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</si>
  <si>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</si>
  <si>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</si>
  <si>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</si>
  <si>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</si>
  <si>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</si>
  <si>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</si>
  <si>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</si>
  <si>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</si>
  <si>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</si>
  <si>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</si>
  <si>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</si>
  <si>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</si>
  <si>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</si>
  <si>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</si>
  <si>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</si>
  <si>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</si>
  <si>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</si>
  <si>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</si>
  <si>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</si>
  <si>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</si>
  <si>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</si>
  <si>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</si>
  <si>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</si>
  <si>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</si>
  <si>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</si>
  <si>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</si>
  <si>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</si>
  <si>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</si>
  <si>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</si>
  <si>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</si>
  <si>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</si>
  <si>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</si>
  <si>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</si>
  <si>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</si>
  <si>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</si>
  <si>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</si>
  <si>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</si>
  <si>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</si>
  <si>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</si>
  <si>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</si>
  <si>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</si>
  <si>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</si>
  <si>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</si>
  <si>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</si>
  <si>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</si>
  <si>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</si>
  <si>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</si>
  <si>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</si>
  <si>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</si>
  <si>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</si>
  <si>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</si>
  <si>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</si>
  <si>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</si>
  <si>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</si>
  <si>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</si>
  <si>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</si>
  <si>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</si>
  <si>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</si>
  <si>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</si>
  <si>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</si>
  <si>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</si>
  <si>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</si>
  <si>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</si>
  <si>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</si>
  <si>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</si>
  <si>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</si>
  <si>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</si>
  <si>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</si>
  <si>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</si>
  <si>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</si>
  <si>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</si>
  <si>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</si>
  <si>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</si>
  <si>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</si>
  <si>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</si>
  <si>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</si>
  <si>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</si>
  <si>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</si>
  <si>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</si>
  <si>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</si>
  <si>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</si>
  <si>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</si>
  <si>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</si>
  <si>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</si>
  <si>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</si>
  <si>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</si>
  <si>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</si>
  <si>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</si>
  <si>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</si>
  <si>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</si>
  <si>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</si>
  <si>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</si>
  <si>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</si>
  <si>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</si>
  <si>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</si>
  <si>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</si>
  <si>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</si>
  <si>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</si>
  <si>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</si>
  <si>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</si>
  <si>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</si>
  <si>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</si>
  <si>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</si>
  <si>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</si>
  <si>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</si>
  <si>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</si>
  <si>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</si>
  <si>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</si>
  <si>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</si>
  <si>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</si>
  <si>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</si>
  <si>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</si>
  <si>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</si>
  <si>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</si>
  <si>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</si>
  <si>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</si>
  <si>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</si>
  <si>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</si>
  <si>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</si>
  <si>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</si>
  <si>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</si>
  <si>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</si>
  <si>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</si>
  <si>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</si>
  <si>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</si>
  <si>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</si>
  <si>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</si>
  <si>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</si>
  <si>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</si>
  <si>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</si>
  <si>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</si>
  <si>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</si>
  <si>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</si>
  <si>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</si>
  <si>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</si>
  <si>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</si>
  <si>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</si>
  <si>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</si>
  <si>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</si>
  <si>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</si>
  <si>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</si>
  <si>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</si>
  <si>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</si>
  <si>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</si>
  <si>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</si>
  <si>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</si>
  <si>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</si>
  <si>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</si>
  <si>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</si>
  <si>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</si>
  <si>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</si>
  <si>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</si>
  <si>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</si>
  <si>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</si>
  <si>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</si>
  <si>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</si>
  <si>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</si>
  <si>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</si>
  <si>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</si>
  <si>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</si>
  <si>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</si>
  <si>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</si>
  <si>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</si>
  <si>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</si>
  <si>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</si>
  <si>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</si>
  <si>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</si>
  <si>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</si>
  <si>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</si>
  <si>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</si>
  <si>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</si>
  <si>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</si>
  <si>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</si>
  <si>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</si>
  <si>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</si>
  <si>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</si>
  <si>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</si>
  <si>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</si>
  <si>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</si>
  <si>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</si>
  <si>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</si>
  <si>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</si>
  <si>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</si>
  <si>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</si>
  <si>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</si>
  <si>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</si>
  <si>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</si>
  <si>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</si>
  <si>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</si>
  <si>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</si>
  <si>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</si>
  <si>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</si>
  <si>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</si>
  <si>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</si>
  <si>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</si>
  <si>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</si>
  <si>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</si>
  <si>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</si>
  <si>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</si>
  <si>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</si>
  <si>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</si>
  <si>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</si>
  <si>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</si>
  <si>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</si>
  <si>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</si>
  <si>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</si>
  <si>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</si>
  <si>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</si>
  <si>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</si>
  <si>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</si>
  <si>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</si>
  <si>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</si>
  <si>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</si>
  <si>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</si>
  <si>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</si>
  <si>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</si>
  <si>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</si>
  <si>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</si>
  <si>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</si>
  <si>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</si>
  <si>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</si>
  <si>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</si>
  <si>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</si>
  <si>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</si>
  <si>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</si>
  <si>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</si>
  <si>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</si>
  <si>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</si>
  <si>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</si>
  <si>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</si>
  <si>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</si>
  <si>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</si>
  <si>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</si>
  <si>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</si>
  <si>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</si>
  <si>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</si>
  <si>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</si>
  <si>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</si>
  <si>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</si>
  <si>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</si>
  <si>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</si>
  <si>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</si>
  <si>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</si>
  <si>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</si>
  <si>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</si>
  <si>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</si>
  <si>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</si>
  <si>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</si>
  <si>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</si>
  <si>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</si>
  <si>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</si>
  <si>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</si>
  <si>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</si>
  <si>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</si>
  <si>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</si>
  <si>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</si>
  <si>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</si>
  <si>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</si>
  <si>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</si>
  <si>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</si>
  <si>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</si>
  <si>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</si>
  <si>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</si>
  <si>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</si>
  <si>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</si>
  <si>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</si>
  <si>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</si>
  <si>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</si>
  <si>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</si>
  <si>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</si>
  <si>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</si>
  <si>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</si>
  <si>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</si>
  <si>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</si>
  <si>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</si>
  <si>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</si>
  <si>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</si>
  <si>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</si>
  <si>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</si>
  <si>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</si>
  <si>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</si>
  <si>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</si>
  <si>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</si>
  <si>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</si>
  <si>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</si>
  <si>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</si>
  <si>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</si>
  <si>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</si>
  <si>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</si>
  <si>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</si>
  <si>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</si>
  <si>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</si>
  <si>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</si>
  <si>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</si>
  <si>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</si>
  <si>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</si>
  <si>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</si>
  <si>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</si>
  <si>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</si>
  <si>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</si>
  <si>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</si>
  <si>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</si>
  <si>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</si>
  <si>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</si>
  <si>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</si>
  <si>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</si>
  <si>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</si>
  <si>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</si>
  <si>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</si>
  <si>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</si>
  <si>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</si>
  <si>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</si>
  <si>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</si>
  <si>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</si>
  <si>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</si>
  <si>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</si>
  <si>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</si>
  <si>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</si>
  <si>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</si>
  <si>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</si>
  <si>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</si>
  <si>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</si>
  <si>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</si>
  <si>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</si>
  <si>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</si>
  <si>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</si>
  <si>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</si>
  <si>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</si>
  <si>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</si>
  <si>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</si>
  <si>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</si>
  <si>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</si>
  <si>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</si>
  <si>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</si>
  <si>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</si>
  <si>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</si>
  <si>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</si>
  <si>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</si>
  <si>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</si>
  <si>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</si>
  <si>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</si>
  <si>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</si>
  <si>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</si>
  <si>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</si>
  <si>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</si>
  <si>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</si>
  <si>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</si>
  <si>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</si>
  <si>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</si>
  <si>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</si>
  <si>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</si>
  <si>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</si>
  <si>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</si>
  <si>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</si>
  <si>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</si>
  <si>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</si>
  <si>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</si>
  <si>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</si>
  <si>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</si>
  <si>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</si>
  <si>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</si>
  <si>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</si>
  <si>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</si>
  <si>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</si>
  <si>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</si>
  <si>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</si>
  <si>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</si>
  <si>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</si>
  <si>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</si>
  <si>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</si>
  <si>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</si>
  <si>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</si>
  <si>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</si>
  <si>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</si>
  <si>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</si>
  <si>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</si>
  <si>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</si>
  <si>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</si>
  <si>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</si>
  <si>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</si>
  <si>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</si>
  <si>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</si>
  <si>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</si>
  <si>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</si>
  <si>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</si>
  <si>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</si>
  <si>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</si>
  <si>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</si>
  <si>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</si>
  <si>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</si>
  <si>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</si>
  <si>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</si>
  <si>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</si>
  <si>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</si>
  <si>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</si>
  <si>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</si>
  <si>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</si>
  <si>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</si>
  <si>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</si>
  <si>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</si>
  <si>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</si>
  <si>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</si>
  <si>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</si>
  <si>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</si>
  <si>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</si>
  <si>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</si>
  <si>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</si>
  <si>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</si>
  <si>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</si>
  <si>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</si>
  <si>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</si>
  <si>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</si>
  <si>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</si>
  <si>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</si>
  <si>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</si>
  <si>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</si>
  <si>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</si>
  <si>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</si>
  <si>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</si>
  <si>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</si>
  <si>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</si>
  <si>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</si>
  <si>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</si>
  <si>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</si>
  <si>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</si>
  <si>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</si>
  <si>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</si>
  <si>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</si>
  <si>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</si>
  <si>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</si>
  <si>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</si>
  <si>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</si>
  <si>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</si>
  <si>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</si>
  <si>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</si>
  <si>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</si>
  <si>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</si>
  <si>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</si>
  <si>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</si>
  <si>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</si>
  <si>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</si>
  <si>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</si>
  <si>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</si>
  <si>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</si>
  <si>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</si>
  <si>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</si>
  <si>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</si>
  <si>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</si>
  <si>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</si>
  <si>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</si>
  <si>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</si>
  <si>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</si>
  <si>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</si>
  <si>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</si>
  <si>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</si>
  <si>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</si>
  <si>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</si>
  <si>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</si>
  <si>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</si>
  <si>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</si>
  <si>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</si>
  <si>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</si>
  <si>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</si>
  <si>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</si>
  <si>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</si>
  <si>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</si>
  <si>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</si>
  <si>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</si>
  <si>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</si>
  <si>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</si>
  <si>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</si>
  <si>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</si>
  <si>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</si>
  <si>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</si>
  <si>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</si>
  <si>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</si>
  <si>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</si>
  <si>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</si>
  <si>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</si>
  <si>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</si>
  <si>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</si>
  <si>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</si>
  <si>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</si>
  <si>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</si>
  <si>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</si>
  <si>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</si>
  <si>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</si>
  <si>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</si>
  <si>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</si>
  <si>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</si>
  <si>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</si>
  <si>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</si>
  <si>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</si>
  <si>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</si>
  <si>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</si>
  <si>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</si>
  <si>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</si>
  <si>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</si>
  <si>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</si>
  <si>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</si>
  <si>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</si>
  <si>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</si>
  <si>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</si>
  <si>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</si>
  <si>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</si>
  <si>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</si>
  <si>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</si>
  <si>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</si>
  <si>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</si>
  <si>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</si>
  <si>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</si>
  <si>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</si>
  <si>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</si>
  <si>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</si>
  <si>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</si>
  <si>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</si>
  <si>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</si>
  <si>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</si>
  <si>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</si>
  <si>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</si>
  <si>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</si>
  <si>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</si>
  <si>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</si>
  <si>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</si>
  <si>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</si>
  <si>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</si>
  <si>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</si>
  <si>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</si>
  <si>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</si>
  <si>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</si>
  <si>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</si>
  <si>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</si>
  <si>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</si>
  <si>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</si>
  <si>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</si>
  <si>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</si>
  <si>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</si>
  <si>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</si>
  <si>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</si>
  <si>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</si>
  <si>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</si>
  <si>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</si>
  <si>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</si>
  <si>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</si>
  <si>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</si>
  <si>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</si>
  <si>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</si>
  <si>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</si>
  <si>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</si>
  <si>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</si>
  <si>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</si>
  <si>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</si>
  <si>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</si>
  <si>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</si>
  <si>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</si>
  <si>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</si>
  <si>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</si>
  <si>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</si>
  <si>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</si>
  <si>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</si>
  <si>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</si>
  <si>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</si>
  <si>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</si>
  <si>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</si>
  <si>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</si>
  <si>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</si>
  <si>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</si>
  <si>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</si>
  <si>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</si>
  <si>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</si>
  <si>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</si>
  <si>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</si>
  <si>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</si>
  <si>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</si>
  <si>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</si>
  <si>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</si>
  <si>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</si>
  <si>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</si>
  <si>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</si>
  <si>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</si>
  <si>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</si>
  <si>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</si>
  <si>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</si>
  <si>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</si>
  <si>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</si>
  <si>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</si>
  <si>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</si>
  <si>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</si>
  <si>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</si>
  <si>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</si>
  <si>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</si>
  <si>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</si>
  <si>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</si>
  <si>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</si>
  <si>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</si>
  <si>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</si>
  <si>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</si>
  <si>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</si>
  <si>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</si>
  <si>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</si>
  <si>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</si>
  <si>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</si>
  <si>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</si>
  <si>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</si>
  <si>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</si>
  <si>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</si>
  <si>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</si>
  <si>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</si>
  <si>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</si>
  <si>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</si>
  <si>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</si>
  <si>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</si>
  <si>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</si>
  <si>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</si>
  <si>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</si>
  <si>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</si>
  <si>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</si>
  <si>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</si>
  <si>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</si>
  <si>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</si>
  <si>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</si>
  <si>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</si>
  <si>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</si>
  <si>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</si>
  <si>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</si>
  <si>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</si>
  <si>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</si>
  <si>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</si>
  <si>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</si>
  <si>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</si>
  <si>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</si>
  <si>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</si>
  <si>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</si>
  <si>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</si>
  <si>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</si>
  <si>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</si>
  <si>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</si>
  <si>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</si>
  <si>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</si>
  <si>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</si>
  <si>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</si>
  <si>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</si>
  <si>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</si>
  <si>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</si>
  <si>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</si>
  <si>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</si>
  <si>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</si>
  <si>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</si>
  <si>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</si>
  <si>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</si>
  <si>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</si>
  <si>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</si>
  <si>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</si>
  <si>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</si>
  <si>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</si>
  <si>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</si>
  <si>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</si>
  <si>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</si>
  <si>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</si>
  <si>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</si>
  <si>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</si>
  <si>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</si>
  <si>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</si>
  <si>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</si>
  <si>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</si>
  <si>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</si>
  <si>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</si>
  <si>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</si>
  <si>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</si>
  <si>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</si>
  <si>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</si>
  <si>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</si>
  <si>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</si>
  <si>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</si>
  <si>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</si>
  <si>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</si>
  <si>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</si>
  <si>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</si>
  <si>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</si>
  <si>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</si>
  <si>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</si>
  <si>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</si>
  <si>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</si>
  <si>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</si>
  <si>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</si>
  <si>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</si>
  <si>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</si>
  <si>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</si>
  <si>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</si>
  <si>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</si>
  <si>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</si>
  <si>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</si>
  <si>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</si>
  <si>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</si>
  <si>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</si>
  <si>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</si>
  <si>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</si>
  <si>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</si>
  <si>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</si>
  <si>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</si>
  <si>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</si>
  <si>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</si>
  <si>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</si>
  <si>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</si>
  <si>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</si>
  <si>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</si>
  <si>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</si>
  <si>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</si>
  <si>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</si>
  <si>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</si>
  <si>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</si>
  <si>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</si>
  <si>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</si>
  <si>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</si>
  <si>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</si>
  <si>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</si>
  <si>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</si>
  <si>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</si>
  <si>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</si>
  <si>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</si>
  <si>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</si>
  <si>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</si>
  <si>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</si>
  <si>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</si>
  <si>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</si>
  <si>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</si>
  <si>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</si>
  <si>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</si>
  <si>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</si>
  <si>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</si>
  <si>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</si>
  <si>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</si>
  <si>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</si>
  <si>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</si>
  <si>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</si>
  <si>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</si>
  <si>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</si>
  <si>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</si>
  <si>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</si>
  <si>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</si>
  <si>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</si>
  <si>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</si>
  <si>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</si>
  <si>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</si>
  <si>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</si>
  <si>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</si>
  <si>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</si>
  <si>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</si>
  <si>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</si>
  <si>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</si>
  <si>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</si>
  <si>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</si>
  <si>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</si>
  <si>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</si>
  <si>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</si>
  <si>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</si>
  <si>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</si>
  <si>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</si>
  <si>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</si>
  <si>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</si>
  <si>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</si>
  <si>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</si>
  <si>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</si>
  <si>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</si>
  <si>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</si>
  <si>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</si>
  <si>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</si>
  <si>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</si>
  <si>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</si>
  <si>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</si>
  <si>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</si>
  <si>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</si>
  <si>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</si>
  <si>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</si>
  <si>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</si>
  <si>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</si>
  <si>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</si>
  <si>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</si>
  <si>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</si>
  <si>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</si>
  <si>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</si>
  <si>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</si>
  <si>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</si>
  <si>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</si>
  <si>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</si>
  <si>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</si>
  <si>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</si>
  <si>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</si>
  <si>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</si>
  <si>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</si>
  <si>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</si>
  <si>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</si>
  <si>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</si>
  <si>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</si>
  <si>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</si>
  <si>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</si>
  <si>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</si>
  <si>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</si>
  <si>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</si>
  <si>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</si>
  <si>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</si>
  <si>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</si>
  <si>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</si>
  <si>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</si>
  <si>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</si>
  <si>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</si>
  <si>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</si>
  <si>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</si>
  <si>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</si>
  <si>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</si>
  <si>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</si>
  <si>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</si>
  <si>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</si>
  <si>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</si>
  <si>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</si>
  <si>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</si>
  <si>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</si>
  <si>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</si>
  <si>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</si>
  <si>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</si>
  <si>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</si>
  <si>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</si>
  <si>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</si>
  <si>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</si>
  <si>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</si>
  <si>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</si>
  <si>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</si>
  <si>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</si>
  <si>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</si>
  <si>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</si>
  <si>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</si>
  <si>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</si>
  <si>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</si>
  <si>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</si>
  <si>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</si>
  <si>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</si>
  <si>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</si>
  <si>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</si>
  <si>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</si>
  <si>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</si>
  <si>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</si>
  <si>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</si>
  <si>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</si>
  <si>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</si>
  <si>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</si>
  <si>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</si>
  <si>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</si>
  <si>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</si>
  <si>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</si>
  <si>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</si>
  <si>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</si>
  <si>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</si>
  <si>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</si>
  <si>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</si>
  <si>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</si>
  <si>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</si>
  <si>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</si>
  <si>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</si>
  <si>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</si>
  <si>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</si>
  <si>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</si>
  <si>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</si>
  <si>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</si>
  <si>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</si>
  <si>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</si>
  <si>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</si>
  <si>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</si>
  <si>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</si>
  <si>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</si>
  <si>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</si>
  <si>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</si>
  <si>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</si>
  <si>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</si>
  <si>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</si>
  <si>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</si>
  <si>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</si>
  <si>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</si>
  <si>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</si>
  <si>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</si>
  <si>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</si>
  <si>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</si>
  <si>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</si>
  <si>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</si>
  <si>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</si>
  <si>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</si>
  <si>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</si>
  <si>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</si>
  <si>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</si>
  <si>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</si>
  <si>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</si>
  <si>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</si>
  <si>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</si>
  <si>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</si>
  <si>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</si>
  <si>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</si>
  <si>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</si>
  <si>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</si>
  <si>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</si>
  <si>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</si>
  <si>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</si>
  <si>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</si>
  <si>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</si>
  <si>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</si>
  <si>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</si>
  <si>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</si>
  <si>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</si>
  <si>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</si>
  <si>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</si>
  <si>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</si>
  <si>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</si>
  <si>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</si>
  <si>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</si>
  <si>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</si>
  <si>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</si>
  <si>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</si>
  <si>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</si>
  <si>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</si>
  <si>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</si>
  <si>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</si>
  <si>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</si>
  <si>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</si>
  <si>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</si>
  <si>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</si>
  <si>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</si>
  <si>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</si>
  <si>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</si>
  <si>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</si>
  <si>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</si>
  <si>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</si>
  <si>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</si>
  <si>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</si>
  <si>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</si>
  <si>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</si>
  <si>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</si>
  <si>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</si>
  <si>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</si>
  <si>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</si>
  <si>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</si>
  <si>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</si>
  <si>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</si>
  <si>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</si>
  <si>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</si>
  <si>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</si>
  <si>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</si>
  <si>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</si>
  <si>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</si>
  <si>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</si>
  <si>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</si>
  <si>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</si>
  <si>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</si>
  <si>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</si>
  <si>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</si>
  <si>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</si>
  <si>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</si>
  <si>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</si>
  <si>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</si>
  <si>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</si>
  <si>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</si>
  <si>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</si>
  <si>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</si>
  <si>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</si>
  <si>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</si>
  <si>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</si>
  <si>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</si>
  <si>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</si>
  <si>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</si>
  <si>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</si>
  <si>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</si>
  <si>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</si>
  <si>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</si>
  <si>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</si>
  <si>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</si>
  <si>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</si>
  <si>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</si>
  <si>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</si>
  <si>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</si>
  <si>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</si>
  <si>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</si>
  <si>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</si>
  <si>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</si>
  <si>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</si>
  <si>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</si>
  <si>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</si>
  <si>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</si>
  <si>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</si>
  <si>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</si>
  <si>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</si>
  <si>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</si>
  <si>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</si>
  <si>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</si>
  <si>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</si>
  <si>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</si>
  <si>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</si>
  <si>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</si>
  <si>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</si>
  <si>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</si>
  <si>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</si>
  <si>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</si>
  <si>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</si>
  <si>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</si>
  <si>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</si>
  <si>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</si>
  <si>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</si>
  <si>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</si>
  <si>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</si>
  <si>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</si>
  <si>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</si>
  <si>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</si>
  <si>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</si>
  <si>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</si>
  <si>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</si>
  <si>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</si>
  <si>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</si>
  <si>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</si>
  <si>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</si>
  <si>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</si>
  <si>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</si>
  <si>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</si>
  <si>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</si>
  <si>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</si>
  <si>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</si>
  <si>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</si>
  <si>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</si>
  <si>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</si>
  <si>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</si>
  <si>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</si>
  <si>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</si>
  <si>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</si>
  <si>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</si>
  <si>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</si>
  <si>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</si>
  <si>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</si>
  <si>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</si>
  <si>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</si>
  <si>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</si>
  <si>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</si>
  <si>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</si>
  <si>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</si>
  <si>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</si>
  <si>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</si>
  <si>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</si>
  <si>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</si>
  <si>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</si>
  <si>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</si>
  <si>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</si>
  <si>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</si>
  <si>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</si>
  <si>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</si>
  <si>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</si>
  <si>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</si>
  <si>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</si>
  <si>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</si>
  <si>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</si>
  <si>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</si>
  <si>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</si>
  <si>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</si>
  <si>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</si>
  <si>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</si>
  <si>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</si>
  <si>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</si>
  <si>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</si>
  <si>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</si>
  <si>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</si>
  <si>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</si>
  <si>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</si>
  <si>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</si>
  <si>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</si>
  <si>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</si>
  <si>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</si>
  <si>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</si>
  <si>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</si>
  <si>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</si>
  <si>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</si>
  <si>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</si>
  <si>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</si>
  <si>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</si>
  <si>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</si>
  <si>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</si>
  <si>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</si>
  <si>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</si>
  <si>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</si>
  <si>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</si>
  <si>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</si>
  <si>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</si>
  <si>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</si>
  <si>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</si>
  <si>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</si>
  <si>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</si>
  <si>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</si>
  <si>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</si>
  <si>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</si>
  <si>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</si>
  <si>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</si>
  <si>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</si>
  <si>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</si>
  <si>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</si>
  <si>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</si>
  <si>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</si>
  <si>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</si>
  <si>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</si>
  <si>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</si>
  <si>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</si>
  <si>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</si>
  <si>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</si>
  <si>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</si>
  <si>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</si>
  <si>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</si>
  <si>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</si>
  <si>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</si>
  <si>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</si>
  <si>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</si>
  <si>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</si>
  <si>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</si>
  <si>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</si>
  <si>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</si>
  <si>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</si>
  <si>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</si>
  <si>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</si>
  <si>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</si>
  <si>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</si>
  <si>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</si>
  <si>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</si>
  <si>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</si>
  <si>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</si>
  <si>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</si>
  <si>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</si>
  <si>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</si>
  <si>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</si>
  <si>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</si>
  <si>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</si>
  <si>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</si>
  <si>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</si>
  <si>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</si>
  <si>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</si>
  <si>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</si>
  <si>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</si>
  <si>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</si>
  <si>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</si>
  <si>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</si>
  <si>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</si>
  <si>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</si>
  <si>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</si>
  <si>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</si>
  <si>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</si>
  <si>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</si>
  <si>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</si>
  <si>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</si>
  <si>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</si>
  <si>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</si>
  <si>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</si>
  <si>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</si>
  <si>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</si>
  <si>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</si>
  <si>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</si>
  <si>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</si>
  <si>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</si>
  <si>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</si>
  <si>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</si>
  <si>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</si>
  <si>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</si>
  <si>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</si>
  <si>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</si>
  <si>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</si>
  <si>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</si>
  <si>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</si>
  <si>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</si>
  <si>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</si>
  <si>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</si>
  <si>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</si>
  <si>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</si>
  <si>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</si>
  <si>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</si>
  <si>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</si>
  <si>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</si>
  <si>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</si>
  <si>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</si>
  <si>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</si>
  <si>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</si>
  <si>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</si>
  <si>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</si>
  <si>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</si>
  <si>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</si>
  <si>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</si>
  <si>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</si>
  <si>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</si>
  <si>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</si>
  <si>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</si>
  <si>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</si>
  <si>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</si>
  <si>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</si>
  <si>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</si>
  <si>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</si>
  <si>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</si>
  <si>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</si>
  <si>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</si>
  <si>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</si>
  <si>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</si>
  <si>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</si>
  <si>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</si>
  <si>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</si>
  <si>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</si>
  <si>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</si>
  <si>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</si>
  <si>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</si>
  <si>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</si>
  <si>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</si>
  <si>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</si>
  <si>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</si>
  <si>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</si>
  <si>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</si>
  <si>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</si>
  <si>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</si>
  <si>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</si>
  <si>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</si>
  <si>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</si>
  <si>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</si>
  <si>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</si>
  <si>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</si>
  <si>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</si>
  <si>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</si>
  <si>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</si>
  <si>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</si>
  <si>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</si>
  <si>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</si>
  <si>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</si>
  <si>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</si>
  <si>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</si>
  <si>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</si>
  <si>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</si>
  <si>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</si>
  <si>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</si>
  <si>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</si>
  <si>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</si>
  <si>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</si>
  <si>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</si>
  <si>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</si>
  <si>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</si>
  <si>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</si>
  <si>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</si>
  <si>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</si>
  <si>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</si>
  <si>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</si>
  <si>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</si>
  <si>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</si>
  <si>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</si>
  <si>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</si>
  <si>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</si>
  <si>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</si>
  <si>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</si>
  <si>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</si>
  <si>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</si>
  <si>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</si>
  <si>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</si>
  <si>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</si>
  <si>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</si>
  <si>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</si>
  <si>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</si>
  <si>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</si>
  <si>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</si>
  <si>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</si>
  <si>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</si>
  <si>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</si>
  <si>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</si>
  <si>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</si>
  <si>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</si>
  <si>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</si>
  <si>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</si>
  <si>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</si>
  <si>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</si>
  <si>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</si>
  <si>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</si>
  <si>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</si>
  <si>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</si>
  <si>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</si>
  <si>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</si>
  <si>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</si>
  <si>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</si>
  <si>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</si>
  <si>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</si>
  <si>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</si>
  <si>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</si>
  <si>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</si>
  <si>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</si>
  <si>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</si>
  <si>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</si>
  <si>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</si>
  <si>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</si>
  <si>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</si>
  <si>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</si>
  <si>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</si>
  <si>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</si>
  <si>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</si>
  <si>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</si>
  <si>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</si>
  <si>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</si>
  <si>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</si>
  <si>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</si>
  <si>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</si>
  <si>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</si>
  <si>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</si>
  <si>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</si>
  <si>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</si>
  <si>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</si>
  <si>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</si>
  <si>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</si>
  <si>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</si>
  <si>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</si>
  <si>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</si>
  <si>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</si>
  <si>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</si>
  <si>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</si>
  <si>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</si>
  <si>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</si>
  <si>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</si>
  <si>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</si>
  <si>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</si>
  <si>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</si>
  <si>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</si>
  <si>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</si>
  <si>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</si>
  <si>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</si>
  <si>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</si>
  <si>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</si>
  <si>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</si>
  <si>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</si>
  <si>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</si>
  <si>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</si>
  <si>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</si>
  <si>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</si>
  <si>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</si>
  <si>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</si>
  <si>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</si>
  <si>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</si>
  <si>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</si>
  <si>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</si>
  <si>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</si>
  <si>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</si>
  <si>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</si>
  <si>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</si>
  <si>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</si>
  <si>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</si>
  <si>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</si>
  <si>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</si>
  <si>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</si>
  <si>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</si>
  <si>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</si>
  <si>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</si>
  <si>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</si>
  <si>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</si>
  <si>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</si>
  <si>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</si>
  <si>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</si>
  <si>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</si>
  <si>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</si>
  <si>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</si>
  <si>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</si>
  <si>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</si>
  <si>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</si>
  <si>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</si>
  <si>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</si>
  <si>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</si>
  <si>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</si>
  <si>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</si>
  <si>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</si>
  <si>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</si>
  <si>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</si>
  <si>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</si>
  <si>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</si>
  <si>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</si>
  <si>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</si>
  <si>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</si>
  <si>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</si>
  <si>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</si>
  <si>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</si>
  <si>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</si>
  <si>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</si>
  <si>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</si>
  <si>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</si>
  <si>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</si>
  <si>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</si>
  <si>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</si>
  <si>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</si>
  <si>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</si>
  <si>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</si>
  <si>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</si>
  <si>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</si>
  <si>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</si>
  <si>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</si>
  <si>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</si>
  <si>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</si>
  <si>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</si>
  <si>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</si>
  <si>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</si>
  <si>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</si>
  <si>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</si>
  <si>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</si>
  <si>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</si>
  <si>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</si>
  <si>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</si>
  <si>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</si>
  <si>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</si>
  <si>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</si>
  <si>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</si>
  <si>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</si>
  <si>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</si>
  <si>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</si>
  <si>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</si>
  <si>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</si>
  <si>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</si>
  <si>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</si>
  <si>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</si>
  <si>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</si>
  <si>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</si>
  <si>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</si>
  <si>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</si>
  <si>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</si>
  <si>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</si>
  <si>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</si>
  <si>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</si>
  <si>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</si>
  <si>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</si>
  <si>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</si>
  <si>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</si>
  <si>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</si>
  <si>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</si>
  <si>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</si>
  <si>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</si>
  <si>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</si>
  <si>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</si>
  <si>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</si>
  <si>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</si>
  <si>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</si>
  <si>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</si>
  <si>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</si>
  <si>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</si>
  <si>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</si>
  <si>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</si>
  <si>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</si>
  <si>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</si>
  <si>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</si>
  <si>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</si>
  <si>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</si>
  <si>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</si>
  <si>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</si>
  <si>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</si>
  <si>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</si>
  <si>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</si>
  <si>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</si>
  <si>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</si>
  <si>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</si>
  <si>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</si>
  <si>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</si>
  <si>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</si>
  <si>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</si>
  <si>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</si>
  <si>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</si>
  <si>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</si>
  <si>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</si>
  <si>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</si>
  <si>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</si>
  <si>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</si>
  <si>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</si>
  <si>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</si>
  <si>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</si>
  <si>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</si>
  <si>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</si>
  <si>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</si>
  <si>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</si>
  <si>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</si>
  <si>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</si>
  <si>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</si>
  <si>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</si>
  <si>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</si>
  <si>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</si>
  <si>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</si>
  <si>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</si>
  <si>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</si>
  <si>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</si>
  <si>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</si>
  <si>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</si>
  <si>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</si>
  <si>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</si>
  <si>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</si>
  <si>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</si>
  <si>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</si>
  <si>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</si>
  <si>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</si>
  <si>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</si>
  <si>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</si>
  <si>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</si>
  <si>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</si>
  <si>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</si>
  <si>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</si>
  <si>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</si>
  <si>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</si>
  <si>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</si>
  <si>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</si>
  <si>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</si>
  <si>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</si>
  <si>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</si>
  <si>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</si>
  <si>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</si>
  <si>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</si>
  <si>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</si>
  <si>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</si>
  <si>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</si>
  <si>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</si>
  <si>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</si>
  <si>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</si>
  <si>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</si>
  <si>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</si>
  <si>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</si>
  <si>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</si>
  <si>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</si>
  <si>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</si>
  <si>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</si>
  <si>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</si>
  <si>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</si>
  <si>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</si>
  <si>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</si>
  <si>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</si>
  <si>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</si>
  <si>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</si>
  <si>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</si>
  <si>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</si>
  <si>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</si>
  <si>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</si>
  <si>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</si>
  <si>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</si>
  <si>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</si>
  <si>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</si>
  <si>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</si>
  <si>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</si>
  <si>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</si>
  <si>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</si>
  <si>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</si>
  <si>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</si>
  <si>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</si>
  <si>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</si>
  <si>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</si>
  <si>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</si>
  <si>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</si>
  <si>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</si>
  <si>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</si>
  <si>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</si>
  <si>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</si>
  <si>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</si>
  <si>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</si>
  <si>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</si>
  <si>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</si>
  <si>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</si>
  <si>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</si>
  <si>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</si>
  <si>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</si>
  <si>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</si>
  <si>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</si>
  <si>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</si>
  <si>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</si>
  <si>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</si>
  <si>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</si>
  <si>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</si>
  <si>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</si>
  <si>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</si>
  <si>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</si>
  <si>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</si>
  <si>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</si>
  <si>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</si>
  <si>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</si>
  <si>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</si>
  <si>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</si>
  <si>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</si>
  <si>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</si>
  <si>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</si>
  <si>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</si>
  <si>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</si>
  <si>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</si>
  <si>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</si>
  <si>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</si>
  <si>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</si>
  <si>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</si>
  <si>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</si>
  <si>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</si>
  <si>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</si>
  <si>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</si>
  <si>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</si>
  <si>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</si>
  <si>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</si>
  <si>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</si>
  <si>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</si>
  <si>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</si>
  <si>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</si>
  <si>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</si>
  <si>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</si>
  <si>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</si>
  <si>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</si>
  <si>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</si>
  <si>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</si>
  <si>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</si>
  <si>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</si>
  <si>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</si>
  <si>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</si>
  <si>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</si>
  <si>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</si>
  <si>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</si>
  <si>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</si>
  <si>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</si>
  <si>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</si>
  <si>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</si>
  <si>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</si>
  <si>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</si>
  <si>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</si>
  <si>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</si>
  <si>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</si>
  <si>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</si>
  <si>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</si>
  <si>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</si>
  <si>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</si>
  <si>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</si>
  <si>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</si>
  <si>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</si>
  <si>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</si>
  <si>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</si>
  <si>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</si>
  <si>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</si>
  <si>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</si>
  <si>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</si>
  <si>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</si>
  <si>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</si>
  <si>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</si>
  <si>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</si>
  <si>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</si>
  <si>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</si>
  <si>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</si>
  <si>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</si>
  <si>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</si>
  <si>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</si>
  <si>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</si>
  <si>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</si>
  <si>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</si>
  <si>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</si>
  <si>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</si>
  <si>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</si>
  <si>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</si>
  <si>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</si>
  <si>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</si>
  <si>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</si>
  <si>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</si>
  <si>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</si>
  <si>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</si>
  <si>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</si>
  <si>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</si>
  <si>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</si>
  <si>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</si>
  <si>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</si>
  <si>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</si>
  <si>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</si>
  <si>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</si>
  <si>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</si>
  <si>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</si>
  <si>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</si>
  <si>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</si>
  <si>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</si>
  <si>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</si>
  <si>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</si>
  <si>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</si>
  <si>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</si>
  <si>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</si>
  <si>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</si>
  <si>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</si>
  <si>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</si>
  <si>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</si>
  <si>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</si>
  <si>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</si>
  <si>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</si>
  <si>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</si>
  <si>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</si>
  <si>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</si>
  <si>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</si>
  <si>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</si>
  <si>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</si>
  <si>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</si>
  <si>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</si>
  <si>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</si>
  <si>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</si>
  <si>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</si>
  <si>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</si>
  <si>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</si>
  <si>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</si>
  <si>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</si>
  <si>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</si>
  <si>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</si>
  <si>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</si>
  <si>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</si>
  <si>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</si>
  <si>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</si>
  <si>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</si>
  <si>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</si>
  <si>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</si>
  <si>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</si>
  <si>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</si>
  <si>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</si>
  <si>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</si>
  <si>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</si>
  <si>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</si>
  <si>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</si>
  <si>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</si>
  <si>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</si>
  <si>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</si>
  <si>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</si>
  <si>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</si>
  <si>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</si>
  <si>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</si>
  <si>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</si>
  <si>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</si>
  <si>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</si>
  <si>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</si>
  <si>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</si>
  <si>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</si>
  <si>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</si>
  <si>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</si>
  <si>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</si>
  <si>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</si>
  <si>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</si>
  <si>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</si>
  <si>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</si>
  <si>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</si>
  <si>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</si>
  <si>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</si>
  <si>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</si>
  <si>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</si>
  <si>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</si>
  <si>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</si>
  <si>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</si>
  <si>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</si>
  <si>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</si>
  <si>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</si>
  <si>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</si>
  <si>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</si>
  <si>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</si>
  <si>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</si>
  <si>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</si>
  <si>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</si>
  <si>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</si>
  <si>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</si>
  <si>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</si>
  <si>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</si>
  <si>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</si>
  <si>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</si>
  <si>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</si>
  <si>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</si>
  <si>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</si>
  <si>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</si>
  <si>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</si>
  <si>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</si>
  <si>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</si>
  <si>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</si>
  <si>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</si>
  <si>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</si>
  <si>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</si>
  <si>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</si>
  <si>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</si>
  <si>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</si>
  <si>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</si>
  <si>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</si>
  <si>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</si>
  <si>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</si>
  <si>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</si>
  <si>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</si>
  <si>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</si>
  <si>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</si>
  <si>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</si>
  <si>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</si>
  <si>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</si>
  <si>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</si>
  <si>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</si>
  <si>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</si>
  <si>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</si>
  <si>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</si>
  <si>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</si>
  <si>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</si>
  <si>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</si>
  <si>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</si>
  <si>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</si>
  <si>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</si>
  <si>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</si>
  <si>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</si>
  <si>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</si>
  <si>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</si>
  <si>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</si>
  <si>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</si>
  <si>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</si>
  <si>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</si>
  <si>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</si>
  <si>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</si>
  <si>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</si>
  <si>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</si>
  <si>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</si>
  <si>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</si>
  <si>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</si>
  <si>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</si>
  <si>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</si>
  <si>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</si>
  <si>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</si>
  <si>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</si>
  <si>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</si>
  <si>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</si>
  <si>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</si>
  <si>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</si>
  <si>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</si>
  <si>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</si>
  <si>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</si>
  <si>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</si>
  <si>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</si>
  <si>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</si>
  <si>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</si>
  <si>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</si>
  <si>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</si>
  <si>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</si>
  <si>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</si>
  <si>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</si>
  <si>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</si>
  <si>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</si>
  <si>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</si>
  <si>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</si>
  <si>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</si>
  <si>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</si>
  <si>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</si>
  <si>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</si>
  <si>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</si>
  <si>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</si>
  <si>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</si>
  <si>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</si>
  <si>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</si>
  <si>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</si>
  <si>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</si>
  <si>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</si>
  <si>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</si>
  <si>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</si>
  <si>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</si>
  <si>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</si>
  <si>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</si>
  <si>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</si>
  <si>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</si>
  <si>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</si>
  <si>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</si>
  <si>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</si>
  <si>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</si>
  <si>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</si>
  <si>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</si>
  <si>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</si>
  <si>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</si>
  <si>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</si>
  <si>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</si>
  <si>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</si>
  <si>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</si>
  <si>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</si>
  <si>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</si>
  <si>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</si>
  <si>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</si>
  <si>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</si>
  <si>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</si>
  <si>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</si>
  <si>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</si>
  <si>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</si>
  <si>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</si>
  <si>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</si>
  <si>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</si>
  <si>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</si>
  <si>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</si>
  <si>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</si>
  <si>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</si>
  <si>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</si>
  <si>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</si>
  <si>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</si>
  <si>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</si>
  <si>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</si>
  <si>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</si>
  <si>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</si>
  <si>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</si>
  <si>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</si>
  <si>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</si>
  <si>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</si>
  <si>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</si>
  <si>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</si>
  <si>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</si>
  <si>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</si>
  <si>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</si>
  <si>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</si>
  <si>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</si>
  <si>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</si>
  <si>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</si>
  <si>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</si>
  <si>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</si>
  <si>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</si>
  <si>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</si>
  <si>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</si>
  <si>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</si>
  <si>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</si>
  <si>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</si>
  <si>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</si>
  <si>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</si>
  <si>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</si>
  <si>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</si>
  <si>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</si>
  <si>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</si>
  <si>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</si>
  <si>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</si>
  <si>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</si>
  <si>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</si>
  <si>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</si>
  <si>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</si>
  <si>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</si>
  <si>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</si>
  <si>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</si>
  <si>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</si>
  <si>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</si>
  <si>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</si>
  <si>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</si>
  <si>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</si>
  <si>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</si>
  <si>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</si>
  <si>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</si>
  <si>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</si>
  <si>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</si>
  <si>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</si>
  <si>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</si>
  <si>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</si>
  <si>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</si>
  <si>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</si>
  <si>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</si>
  <si>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</si>
  <si>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</si>
  <si>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</si>
  <si>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</si>
  <si>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</si>
  <si>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</si>
  <si>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</si>
  <si>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</si>
  <si>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</si>
  <si>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</si>
  <si>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</si>
  <si>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</si>
  <si>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</si>
  <si>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</si>
  <si>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</si>
  <si>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</si>
  <si>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</si>
  <si>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</si>
  <si>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</si>
  <si>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</si>
  <si>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</si>
  <si>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</si>
  <si>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</si>
  <si>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</si>
  <si>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</si>
  <si>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</si>
  <si>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</si>
  <si>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</si>
  <si>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</si>
  <si>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</si>
  <si>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</si>
  <si>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</si>
  <si>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</si>
  <si>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</si>
  <si>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</si>
  <si>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</si>
  <si>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</si>
  <si>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</si>
  <si>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</si>
  <si>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</si>
  <si>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</si>
  <si>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</si>
  <si>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</si>
  <si>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</si>
  <si>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</si>
  <si>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</si>
  <si>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</si>
  <si>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</si>
  <si>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</si>
  <si>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</si>
  <si>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</si>
  <si>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</si>
  <si>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</si>
  <si>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</si>
  <si>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</si>
  <si>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</si>
  <si>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</si>
  <si>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</si>
  <si>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</si>
  <si>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</si>
  <si>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</si>
  <si>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</si>
  <si>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</si>
  <si>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</si>
  <si>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</si>
  <si>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</si>
  <si>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</si>
  <si>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</si>
  <si>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</si>
  <si>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</si>
  <si>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</si>
  <si>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</si>
  <si>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</si>
  <si>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</si>
  <si>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</si>
  <si>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</si>
  <si>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</si>
  <si>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</si>
  <si>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</si>
  <si>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</si>
  <si>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</si>
  <si>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</si>
  <si>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</si>
  <si>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</si>
  <si>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</si>
  <si>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</si>
  <si>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</si>
  <si>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</si>
  <si>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</si>
  <si>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</si>
  <si>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</si>
  <si>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</si>
  <si>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</si>
  <si>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</si>
  <si>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</si>
  <si>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</si>
  <si>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</si>
  <si>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</si>
  <si>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</si>
  <si>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</si>
  <si>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</si>
  <si>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</si>
  <si>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</si>
  <si>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</si>
  <si>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</si>
  <si>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</si>
  <si>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</si>
  <si>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</si>
  <si>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</si>
  <si>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</si>
  <si>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</si>
  <si>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</si>
  <si>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</si>
  <si>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</si>
  <si>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</si>
  <si>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</si>
  <si>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</si>
  <si>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</si>
  <si>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</si>
  <si>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</si>
  <si>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</si>
  <si>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</si>
  <si>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</si>
  <si>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</si>
  <si>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</si>
  <si>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</si>
  <si>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</si>
  <si>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</si>
  <si>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</si>
  <si>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</si>
  <si>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</si>
  <si>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</si>
  <si>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</si>
  <si>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</si>
  <si>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</si>
  <si>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</si>
  <si>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</si>
  <si>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</si>
  <si>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</si>
  <si>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</si>
  <si>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</si>
  <si>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</si>
  <si>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</si>
  <si>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</si>
  <si>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</si>
  <si>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</si>
  <si>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</si>
  <si>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</si>
  <si>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</si>
  <si>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</si>
  <si>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</si>
  <si>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</si>
  <si>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</si>
  <si>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</si>
  <si>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</si>
  <si>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</si>
  <si>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</si>
  <si>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</si>
  <si>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</si>
  <si>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</si>
  <si>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</si>
  <si>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</si>
  <si>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</si>
  <si>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</si>
  <si>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</si>
  <si>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</si>
  <si>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</si>
  <si>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</si>
  <si>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</si>
  <si>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</si>
  <si>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</si>
  <si>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</si>
  <si>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</si>
  <si>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</si>
  <si>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</si>
  <si>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</si>
  <si>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</si>
  <si>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</si>
  <si>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</si>
  <si>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</si>
  <si>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</si>
  <si>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</si>
  <si>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</si>
  <si>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</si>
  <si>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</si>
  <si>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</si>
  <si>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</si>
  <si>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</si>
  <si>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</si>
  <si>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</si>
  <si>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</si>
  <si>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</si>
  <si>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</si>
  <si>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</si>
  <si>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</si>
  <si>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</si>
  <si>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</si>
  <si>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</si>
  <si>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</si>
  <si>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</si>
  <si>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</si>
  <si>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</si>
  <si>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</si>
  <si>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</si>
  <si>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</si>
  <si>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</si>
  <si>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</si>
  <si>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</si>
  <si>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</si>
  <si>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</si>
  <si>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</si>
  <si>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</si>
  <si>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</si>
  <si>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</si>
  <si>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</si>
  <si>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</si>
  <si>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</si>
  <si>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</si>
  <si>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</si>
  <si>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</si>
  <si>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</si>
  <si>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</si>
  <si>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</si>
  <si>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</si>
  <si>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</si>
  <si>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</si>
  <si>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</si>
  <si>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</si>
  <si>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</si>
  <si>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</si>
  <si>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</si>
  <si>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</si>
  <si>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</si>
  <si>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</si>
  <si>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</si>
  <si>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</si>
  <si>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</si>
  <si>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</si>
  <si>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</si>
  <si>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</si>
  <si>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</si>
  <si>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</si>
  <si>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</si>
  <si>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</si>
  <si>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</si>
  <si>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</si>
  <si>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</si>
  <si>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</si>
  <si>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</si>
  <si>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</si>
  <si>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</si>
  <si>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</si>
  <si>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</si>
  <si>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</si>
  <si>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</si>
  <si>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</si>
  <si>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</si>
  <si>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</si>
  <si>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</si>
  <si>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</si>
  <si>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</si>
  <si>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</si>
  <si>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</si>
  <si>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</si>
  <si>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</si>
  <si>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</si>
  <si>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</si>
  <si>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</si>
  <si>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</si>
  <si>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</si>
  <si>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</si>
  <si>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</si>
  <si>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</si>
  <si>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</si>
  <si>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</si>
  <si>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</si>
  <si>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</si>
  <si>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</si>
  <si>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</si>
  <si>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</si>
  <si>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</si>
  <si>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</si>
  <si>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</si>
  <si>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</si>
  <si>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</si>
  <si>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</si>
  <si>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</si>
  <si>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</si>
  <si>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</si>
  <si>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</si>
  <si>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</si>
  <si>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</si>
  <si>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</si>
  <si>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</si>
  <si>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</si>
  <si>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</si>
  <si>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</si>
  <si>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</si>
  <si>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</si>
  <si>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</si>
  <si>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</si>
  <si>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</si>
  <si>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</si>
  <si>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</si>
  <si>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</si>
  <si>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</si>
  <si>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</si>
  <si>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</si>
  <si>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</si>
  <si>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</si>
  <si>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</si>
  <si>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</si>
  <si>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</si>
  <si>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</si>
  <si>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</si>
  <si>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</si>
  <si>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</si>
  <si>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</si>
  <si>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</si>
  <si>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</si>
  <si>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</si>
  <si>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</si>
  <si>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</si>
  <si>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</si>
  <si>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</si>
  <si>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</si>
  <si>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</si>
  <si>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</si>
  <si>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</si>
  <si>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</si>
  <si>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</si>
  <si>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</si>
  <si>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</si>
  <si>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</si>
  <si>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</si>
  <si>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</si>
  <si>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</si>
  <si>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</si>
  <si>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</si>
  <si>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</si>
  <si>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</si>
  <si>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</si>
  <si>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</si>
  <si>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</si>
  <si>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</si>
  <si>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</si>
  <si>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</si>
  <si>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</si>
  <si>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</si>
  <si>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</si>
  <si>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</si>
  <si>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</si>
  <si>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</si>
  <si>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</si>
  <si>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</si>
  <si>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</si>
  <si>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</si>
  <si>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</si>
  <si>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</si>
  <si>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</si>
  <si>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</si>
  <si>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</si>
  <si>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</si>
  <si>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</si>
  <si>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</si>
  <si>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</si>
  <si>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</si>
  <si>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</si>
  <si>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</si>
  <si>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</si>
  <si>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</si>
  <si>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</si>
  <si>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</si>
  <si>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</si>
  <si>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</si>
  <si>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</si>
  <si>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</si>
  <si>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</si>
  <si>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</si>
  <si>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</si>
  <si>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</si>
  <si>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</si>
  <si>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</si>
  <si>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</si>
  <si>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</si>
  <si>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</si>
  <si>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</si>
  <si>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</si>
  <si>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</si>
  <si>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</si>
  <si>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</si>
  <si>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</si>
  <si>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</si>
  <si>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</si>
  <si>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</si>
  <si>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</si>
  <si>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</si>
  <si>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</si>
  <si>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</si>
  <si>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</si>
  <si>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</si>
  <si>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</si>
  <si>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</si>
  <si>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</si>
  <si>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</si>
  <si>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</si>
  <si>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</si>
  <si>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</si>
  <si>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</si>
  <si>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</si>
  <si>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</si>
  <si>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</si>
  <si>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</si>
  <si>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</si>
  <si>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</si>
  <si>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</si>
  <si>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</si>
  <si>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</si>
  <si>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</si>
  <si>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</si>
  <si>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</si>
  <si>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</si>
  <si>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</si>
  <si>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</si>
  <si>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</si>
  <si>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</si>
  <si>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</si>
  <si>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</si>
  <si>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</si>
  <si>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</si>
  <si>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</si>
  <si>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</si>
  <si>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</si>
  <si>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</si>
  <si>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</si>
  <si>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</si>
  <si>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</si>
  <si>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</si>
  <si>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</si>
  <si>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</si>
  <si>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</si>
  <si>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</si>
  <si>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</si>
  <si>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</si>
  <si>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</si>
  <si>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</si>
  <si>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</si>
  <si>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</si>
  <si>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</si>
  <si>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</si>
  <si>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</si>
  <si>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</si>
  <si>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</si>
  <si>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</si>
  <si>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</si>
  <si>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</si>
  <si>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</si>
  <si>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</si>
  <si>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</si>
  <si>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</si>
  <si>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</si>
  <si>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</si>
  <si>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</si>
  <si>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</si>
  <si>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</si>
  <si>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</si>
  <si>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</si>
  <si>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</si>
  <si>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</si>
  <si>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</si>
  <si>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</si>
  <si>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</si>
  <si>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</si>
  <si>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</si>
  <si>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</si>
  <si>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</si>
  <si>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</si>
  <si>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</si>
  <si>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</si>
  <si>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</si>
  <si>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</si>
  <si>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</si>
  <si>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</si>
  <si>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</si>
  <si>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</si>
  <si>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</si>
  <si>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</si>
  <si>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</si>
  <si>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</si>
  <si>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</si>
  <si>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</si>
  <si>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</si>
  <si>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</si>
  <si>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</si>
  <si>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</si>
  <si>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</si>
  <si>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</si>
  <si>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</si>
  <si>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</si>
  <si>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</si>
  <si>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</si>
  <si>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</si>
  <si>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</si>
  <si>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</si>
  <si>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</si>
  <si>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</si>
  <si>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</si>
  <si>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</si>
  <si>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</si>
  <si>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</si>
  <si>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</si>
  <si>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</si>
  <si>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</si>
  <si>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</si>
  <si>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</si>
  <si>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</si>
  <si>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</si>
  <si>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</si>
  <si>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</si>
  <si>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</si>
  <si>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</si>
  <si>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</si>
  <si>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</si>
  <si>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</si>
  <si>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</si>
  <si>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</si>
  <si>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</si>
  <si>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</si>
  <si>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</si>
  <si>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</si>
  <si>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</si>
  <si>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</si>
  <si>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</si>
  <si>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</si>
  <si>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</si>
  <si>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</si>
  <si>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</si>
  <si>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</si>
  <si>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</si>
  <si>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</si>
  <si>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</si>
  <si>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</si>
  <si>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</si>
  <si>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</si>
  <si>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</si>
  <si>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</si>
  <si>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</si>
  <si>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</si>
  <si>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</si>
  <si>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</si>
  <si>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</si>
  <si>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</si>
  <si>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</si>
  <si>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</si>
  <si>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</si>
  <si>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</si>
  <si>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</si>
  <si>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</si>
  <si>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</si>
  <si>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</si>
  <si>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</si>
  <si>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</si>
  <si>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</si>
  <si>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</si>
  <si>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</si>
  <si>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</si>
  <si>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</si>
  <si>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</si>
  <si>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</si>
  <si>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</si>
  <si>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</si>
  <si>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</si>
  <si>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</si>
  <si>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</si>
  <si>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</si>
  <si>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</si>
  <si>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</si>
  <si>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</si>
  <si>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</si>
  <si>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</si>
  <si>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</si>
  <si>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</si>
  <si>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</si>
  <si>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</si>
  <si>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</si>
  <si>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</si>
  <si>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</si>
  <si>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</si>
  <si>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</si>
  <si>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</si>
  <si>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</si>
  <si>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</si>
  <si>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</si>
  <si>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</si>
  <si>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</si>
  <si>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</si>
  <si>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</si>
  <si>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</si>
  <si>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</si>
  <si>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</si>
  <si>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</si>
  <si>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</si>
  <si>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</si>
  <si>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</si>
  <si>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</si>
  <si>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</si>
  <si>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</si>
  <si>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</si>
  <si>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</si>
  <si>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</si>
  <si>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</si>
  <si>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</si>
  <si>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</si>
  <si>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</si>
  <si>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</si>
  <si>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</si>
  <si>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</si>
  <si>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</si>
  <si>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</si>
  <si>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</si>
  <si>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</si>
  <si>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</si>
  <si>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</si>
  <si>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</si>
  <si>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</si>
  <si>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</si>
  <si>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</si>
  <si>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</si>
  <si>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</si>
  <si>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</si>
  <si>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</si>
  <si>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</si>
  <si>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</si>
  <si>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</si>
  <si>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</si>
  <si>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</si>
  <si>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</si>
  <si>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</si>
  <si>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</si>
  <si>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</si>
  <si>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</si>
  <si>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</si>
  <si>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</si>
  <si>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</si>
  <si>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</si>
  <si>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</si>
  <si>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</si>
  <si>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</si>
  <si>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</si>
  <si>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</si>
  <si>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</si>
  <si>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</si>
  <si>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</si>
  <si>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</si>
  <si>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</si>
  <si>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</si>
  <si>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</si>
  <si>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</si>
  <si>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</si>
  <si>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</si>
  <si>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</si>
  <si>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</si>
  <si>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</si>
  <si>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</si>
  <si>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</si>
  <si>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</si>
  <si>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</si>
  <si>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</si>
  <si>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</si>
  <si>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</si>
  <si>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</si>
  <si>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</si>
  <si>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</si>
  <si>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</si>
  <si>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</si>
  <si>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</si>
  <si>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</si>
  <si>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</si>
  <si>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</si>
  <si>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</si>
  <si>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</si>
  <si>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</si>
  <si>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</si>
  <si>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</si>
  <si>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</si>
  <si>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</si>
  <si>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</si>
  <si>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</si>
  <si>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</si>
  <si>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</si>
  <si>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</si>
  <si>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</si>
  <si>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</si>
  <si>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</si>
  <si>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</si>
  <si>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</si>
  <si>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</si>
  <si>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</si>
  <si>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</si>
  <si>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</si>
  <si>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</si>
  <si>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</si>
  <si>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</si>
  <si>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</si>
  <si>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</si>
  <si>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</si>
  <si>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</si>
  <si>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</si>
  <si>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</si>
  <si>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</si>
  <si>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</si>
  <si>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</si>
  <si>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</si>
  <si>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</si>
  <si>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</si>
  <si>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</si>
  <si>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</si>
  <si>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</si>
  <si>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</si>
  <si>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</si>
  <si>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</si>
  <si>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</si>
  <si>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</si>
  <si>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</si>
  <si>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</si>
  <si>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</si>
  <si>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</si>
  <si>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</si>
  <si>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</si>
  <si>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</si>
  <si>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</si>
  <si>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</si>
  <si>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</si>
  <si>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</si>
  <si>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</si>
  <si>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</si>
  <si>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</si>
  <si>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</si>
  <si>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</si>
  <si>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</si>
  <si>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</si>
  <si>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</si>
  <si>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</si>
  <si>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</si>
  <si>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</si>
  <si>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</si>
  <si>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</si>
  <si>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</si>
  <si>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</si>
  <si>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</si>
  <si>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</si>
  <si>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</si>
  <si>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</si>
  <si>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</si>
  <si>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</si>
  <si>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</si>
  <si>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</si>
  <si>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</si>
  <si>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</si>
  <si>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</si>
  <si>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</si>
  <si>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</si>
  <si>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</si>
  <si>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</si>
  <si>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</si>
  <si>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</si>
  <si>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</si>
  <si>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</si>
  <si>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</si>
  <si>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</si>
  <si>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</si>
  <si>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</si>
  <si>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</si>
  <si>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</si>
  <si>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</si>
  <si>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</si>
  <si>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</si>
  <si>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</si>
  <si>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</si>
  <si>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</si>
  <si>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</si>
  <si>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</si>
  <si>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</si>
  <si>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</si>
  <si>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</si>
  <si>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</si>
  <si>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</si>
  <si>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</si>
  <si>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</si>
  <si>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</si>
  <si>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</si>
  <si>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</si>
  <si>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</si>
  <si>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</si>
  <si>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</si>
  <si>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</si>
  <si>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</si>
  <si>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</si>
  <si>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</si>
  <si>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</si>
  <si>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</si>
  <si>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</si>
  <si>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</si>
  <si>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</si>
  <si>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</si>
  <si>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</si>
  <si>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</si>
  <si>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</si>
  <si>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</si>
  <si>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</si>
  <si>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</si>
  <si>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</si>
  <si>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</si>
  <si>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</si>
  <si>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</si>
  <si>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</si>
  <si>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</si>
  <si>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</si>
  <si>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</si>
  <si>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</si>
  <si>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</si>
  <si>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</si>
  <si>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</si>
  <si>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</si>
  <si>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</si>
  <si>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</si>
  <si>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</si>
  <si>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</si>
  <si>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</si>
  <si>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</si>
  <si>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</si>
  <si>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</si>
  <si>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</si>
  <si>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</si>
  <si>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</si>
  <si>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</si>
  <si>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</si>
  <si>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</si>
  <si>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</si>
  <si>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</si>
  <si>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</si>
  <si>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</si>
  <si>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</si>
  <si>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</si>
  <si>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</si>
  <si>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</si>
  <si>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</si>
  <si>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</si>
  <si>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</si>
  <si>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</si>
  <si>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</si>
  <si>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</si>
  <si>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</si>
  <si>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</si>
  <si>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</si>
  <si>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</si>
  <si>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</si>
  <si>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</si>
  <si>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</si>
  <si>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</si>
  <si>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</si>
  <si>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</si>
  <si>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</si>
  <si>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</si>
  <si>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</si>
  <si>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</si>
  <si>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</si>
  <si>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</si>
  <si>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</si>
  <si>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</si>
  <si>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</si>
  <si>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</si>
  <si>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</si>
  <si>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</si>
  <si>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</si>
  <si>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</si>
  <si>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</si>
  <si>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</si>
  <si>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</si>
  <si>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</si>
  <si>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</si>
  <si>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</si>
  <si>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</si>
  <si>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</si>
  <si>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</si>
  <si>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</si>
  <si>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</si>
  <si>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</si>
  <si>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</si>
  <si>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</si>
  <si>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</si>
  <si>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</si>
  <si>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</si>
  <si>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</si>
  <si>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</si>
  <si>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</si>
  <si>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</si>
  <si>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</si>
  <si>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</si>
  <si>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</si>
  <si>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</si>
  <si>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</si>
  <si>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</si>
  <si>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</si>
  <si>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</si>
  <si>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</si>
  <si>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</si>
  <si>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</si>
  <si>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</si>
  <si>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</si>
  <si>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rPr>
        <sz val="10"/>
        <color theme="9" tint="-0.249977111117893"/>
        <rFont val="宋体"/>
        <family val="3"/>
        <charset val="134"/>
      </rPr>
      <t>朝阳区朝阳路</t>
    </r>
    <r>
      <rPr>
        <sz val="10"/>
        <color theme="9" tint="-0.249977111117893"/>
        <rFont val="Arial"/>
        <family val="2"/>
      </rPr>
      <t>71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112</t>
    </r>
    <phoneticPr fontId="6" type="noConversion"/>
  </si>
  <si>
    <t>是</t>
  </si>
  <si>
    <t>地上</t>
  </si>
  <si>
    <t>北京市</t>
  </si>
  <si>
    <t>自然人</t>
  </si>
  <si>
    <t>吕海鹏</t>
    <phoneticPr fontId="6" type="noConversion"/>
  </si>
  <si>
    <t>否</t>
  </si>
  <si>
    <t>商业项目</t>
  </si>
  <si>
    <t>现房</t>
  </si>
  <si>
    <t>抵押</t>
  </si>
  <si>
    <t>房地产抵押价值</t>
  </si>
  <si>
    <t>成新度</t>
  </si>
  <si>
    <t>网上查询</t>
    <phoneticPr fontId="3" type="noConversion"/>
  </si>
  <si>
    <t>高碑店</t>
    <phoneticPr fontId="3" type="noConversion"/>
  </si>
  <si>
    <t>收益法 (元)</t>
  </si>
  <si>
    <t>不临65条商业街</t>
  </si>
  <si>
    <t>与级别开发程度一致</t>
  </si>
  <si>
    <t>中心城区</t>
  </si>
  <si>
    <t>按公示增长率计算</t>
  </si>
  <si>
    <t>楼层修正</t>
  </si>
  <si>
    <t>较好</t>
  </si>
  <si>
    <t>一般</t>
  </si>
  <si>
    <t>好</t>
  </si>
  <si>
    <t>未包含在土地购买价格中</t>
  </si>
  <si>
    <t>已包含在土地取得成本中</t>
  </si>
  <si>
    <t>单套模式</t>
  </si>
  <si>
    <t>售价</t>
  </si>
  <si>
    <r>
      <t>锐城国际1层不临街商业报价</t>
    </r>
    <r>
      <rPr>
        <sz val="11"/>
        <color theme="1"/>
        <rFont val="宋体"/>
        <family val="3"/>
        <charset val="134"/>
        <scheme val="minor"/>
      </rPr>
      <t>2万多，租金52平7千多</t>
    </r>
    <phoneticPr fontId="134" type="noConversion"/>
  </si>
  <si>
    <t>日租金</t>
    <phoneticPr fontId="134" type="noConversion"/>
  </si>
  <si>
    <t>押一</t>
  </si>
  <si>
    <t>钢混</t>
  </si>
  <si>
    <t>非生产用房</t>
  </si>
  <si>
    <t>楼面单价</t>
  </si>
  <si>
    <t>自定义</t>
  </si>
  <si>
    <t xml:space="preserve">财满街一层租金5块左右，目前无在租的
</t>
    <phoneticPr fontId="134" type="noConversion"/>
  </si>
  <si>
    <t>估价对象为内铺不临街</t>
    <phoneticPr fontId="134" type="noConversion"/>
  </si>
  <si>
    <t>2层朝南</t>
    <phoneticPr fontId="134" type="noConversion"/>
  </si>
  <si>
    <t>1层临街</t>
    <phoneticPr fontId="134" type="noConversion"/>
  </si>
  <si>
    <t>挂牌价</t>
  </si>
  <si>
    <t>挂牌价</t>
    <phoneticPr fontId="30" type="noConversion"/>
  </si>
  <si>
    <t>正常</t>
  </si>
  <si>
    <t>差</t>
    <phoneticPr fontId="30" type="noConversion"/>
  </si>
  <si>
    <t>较好</t>
    <phoneticPr fontId="30" type="noConversion"/>
  </si>
  <si>
    <r>
      <t>1</t>
    </r>
    <r>
      <rPr>
        <sz val="11"/>
        <color indexed="8"/>
        <rFont val="宋体"/>
        <family val="3"/>
        <charset val="134"/>
      </rPr>
      <t>层</t>
    </r>
    <phoneticPr fontId="30" type="noConversion"/>
  </si>
  <si>
    <t>大</t>
    <phoneticPr fontId="30" type="noConversion"/>
  </si>
  <si>
    <t>较大</t>
    <phoneticPr fontId="30" type="noConversion"/>
  </si>
  <si>
    <t>一般</t>
    <phoneticPr fontId="30" type="noConversion"/>
  </si>
  <si>
    <t>较小</t>
  </si>
  <si>
    <t>较小</t>
    <phoneticPr fontId="30" type="noConversion"/>
  </si>
  <si>
    <t>小</t>
    <phoneticPr fontId="30" type="noConversion"/>
  </si>
  <si>
    <t>好</t>
    <phoneticPr fontId="30" type="noConversion"/>
  </si>
  <si>
    <t>较差</t>
    <phoneticPr fontId="30" type="noConversion"/>
  </si>
  <si>
    <t>双面临街</t>
    <phoneticPr fontId="30" type="noConversion"/>
  </si>
  <si>
    <t>单面临街</t>
  </si>
  <si>
    <t>单面临街</t>
    <phoneticPr fontId="30" type="noConversion"/>
  </si>
  <si>
    <t>不临街</t>
  </si>
  <si>
    <t>不临街</t>
    <phoneticPr fontId="30" type="noConversion"/>
  </si>
  <si>
    <t>1层</t>
  </si>
  <si>
    <t>锐城国际</t>
    <phoneticPr fontId="3" type="noConversion"/>
  </si>
  <si>
    <t>财满街</t>
    <phoneticPr fontId="3" type="noConversion"/>
  </si>
  <si>
    <r>
      <t>1</t>
    </r>
    <r>
      <rPr>
        <sz val="11"/>
        <color theme="1"/>
        <rFont val="宋体"/>
        <family val="3"/>
        <charset val="134"/>
        <scheme val="minor"/>
      </rPr>
      <t>-2层临街底商</t>
    </r>
    <phoneticPr fontId="134" type="noConversion"/>
  </si>
  <si>
    <r>
      <t>1-2</t>
    </r>
    <r>
      <rPr>
        <sz val="11"/>
        <color indexed="8"/>
        <rFont val="宋体"/>
        <family val="3"/>
        <charset val="134"/>
      </rPr>
      <t>层</t>
    </r>
    <phoneticPr fontId="30" type="noConversion"/>
  </si>
  <si>
    <t>1-2层</t>
  </si>
  <si>
    <t>炫特嘉园三期</t>
    <phoneticPr fontId="3" type="noConversion"/>
  </si>
  <si>
    <t>铺面位置</t>
    <phoneticPr fontId="30" type="noConversion"/>
  </si>
  <si>
    <t>内铺</t>
    <phoneticPr fontId="30" type="noConversion"/>
  </si>
  <si>
    <t>外铺</t>
    <phoneticPr fontId="30" type="noConversion"/>
  </si>
  <si>
    <t>比较法-商业</t>
  </si>
  <si>
    <t>年租金42万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</si>
</sst>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95" fillId="0" borderId="0" xfId="0" applyFont="1" applyAlignment="1">
      <alignment vertical="center"/>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517900</xdr:colOff>
      <xdr:row>26</xdr:row>
      <xdr:rowOff>95250</xdr:rowOff>
    </xdr:to>
    <xdr:pic>
      <xdr:nvPicPr>
        <xdr:cNvPr id="2" name="图片 1">
          <a:extLst>
            <a:ext uri="{FF2B5EF4-FFF2-40B4-BE49-F238E27FC236}">
              <a16:creationId xmlns:a16="http://schemas.microsoft.com/office/drawing/2014/main" id="{9F1DDD0A-E552-0068-2E82-F6C862482117}"/>
            </a:ext>
          </a:extLst>
        </xdr:cNvPr>
        <xdr:cNvPicPr>
          <a:picLocks noChangeAspect="1"/>
        </xdr:cNvPicPr>
      </xdr:nvPicPr>
      <xdr:blipFill>
        <a:blip xmlns:r="http://schemas.openxmlformats.org/officeDocument/2006/relationships" r:embed="rId1"/>
        <a:stretch>
          <a:fillRect/>
        </a:stretch>
      </xdr:blipFill>
      <xdr:spPr>
        <a:xfrm>
          <a:off x="0" y="0"/>
          <a:ext cx="10157200" cy="4718050"/>
        </a:xfrm>
        <a:prstGeom prst="rect">
          <a:avLst/>
        </a:prstGeom>
      </xdr:spPr>
    </xdr:pic>
    <xdr:clientData/>
  </xdr:twoCellAnchor>
  <xdr:twoCellAnchor editAs="oneCell">
    <xdr:from>
      <xdr:col>0</xdr:col>
      <xdr:colOff>0</xdr:colOff>
      <xdr:row>35</xdr:row>
      <xdr:rowOff>12699</xdr:rowOff>
    </xdr:from>
    <xdr:to>
      <xdr:col>13</xdr:col>
      <xdr:colOff>606900</xdr:colOff>
      <xdr:row>63</xdr:row>
      <xdr:rowOff>133350</xdr:rowOff>
    </xdr:to>
    <xdr:pic>
      <xdr:nvPicPr>
        <xdr:cNvPr id="3" name="图片 2">
          <a:extLst>
            <a:ext uri="{FF2B5EF4-FFF2-40B4-BE49-F238E27FC236}">
              <a16:creationId xmlns:a16="http://schemas.microsoft.com/office/drawing/2014/main" id="{53CCD122-AE4C-CB99-8C07-1004EC3DD0E9}"/>
            </a:ext>
          </a:extLst>
        </xdr:cNvPr>
        <xdr:cNvPicPr>
          <a:picLocks noChangeAspect="1"/>
        </xdr:cNvPicPr>
      </xdr:nvPicPr>
      <xdr:blipFill>
        <a:blip xmlns:r="http://schemas.openxmlformats.org/officeDocument/2006/relationships" r:embed="rId2"/>
        <a:stretch>
          <a:fillRect/>
        </a:stretch>
      </xdr:blipFill>
      <xdr:spPr>
        <a:xfrm>
          <a:off x="0" y="6267449"/>
          <a:ext cx="9027000" cy="5099051"/>
        </a:xfrm>
        <a:prstGeom prst="rect">
          <a:avLst/>
        </a:prstGeom>
      </xdr:spPr>
    </xdr:pic>
    <xdr:clientData/>
  </xdr:twoCellAnchor>
  <xdr:twoCellAnchor editAs="oneCell">
    <xdr:from>
      <xdr:col>0</xdr:col>
      <xdr:colOff>0</xdr:colOff>
      <xdr:row>63</xdr:row>
      <xdr:rowOff>127000</xdr:rowOff>
    </xdr:from>
    <xdr:to>
      <xdr:col>13</xdr:col>
      <xdr:colOff>69301</xdr:colOff>
      <xdr:row>107</xdr:row>
      <xdr:rowOff>11374</xdr:rowOff>
    </xdr:to>
    <xdr:pic>
      <xdr:nvPicPr>
        <xdr:cNvPr id="4" name="图片 3">
          <a:extLst>
            <a:ext uri="{FF2B5EF4-FFF2-40B4-BE49-F238E27FC236}">
              <a16:creationId xmlns:a16="http://schemas.microsoft.com/office/drawing/2014/main" id="{D54644E0-40C5-EC49-0325-8ADFC7FD775C}"/>
            </a:ext>
          </a:extLst>
        </xdr:cNvPr>
        <xdr:cNvPicPr>
          <a:picLocks noChangeAspect="1"/>
        </xdr:cNvPicPr>
      </xdr:nvPicPr>
      <xdr:blipFill>
        <a:blip xmlns:r="http://schemas.openxmlformats.org/officeDocument/2006/relationships" r:embed="rId3"/>
        <a:stretch>
          <a:fillRect/>
        </a:stretch>
      </xdr:blipFill>
      <xdr:spPr>
        <a:xfrm>
          <a:off x="0" y="11360150"/>
          <a:ext cx="8489401" cy="7707574"/>
        </a:xfrm>
        <a:prstGeom prst="rect">
          <a:avLst/>
        </a:prstGeom>
      </xdr:spPr>
    </xdr:pic>
    <xdr:clientData/>
  </xdr:twoCellAnchor>
  <xdr:twoCellAnchor editAs="oneCell">
    <xdr:from>
      <xdr:col>0</xdr:col>
      <xdr:colOff>0</xdr:colOff>
      <xdr:row>109</xdr:row>
      <xdr:rowOff>50800</xdr:rowOff>
    </xdr:from>
    <xdr:to>
      <xdr:col>14</xdr:col>
      <xdr:colOff>29341</xdr:colOff>
      <xdr:row>154</xdr:row>
      <xdr:rowOff>62178</xdr:rowOff>
    </xdr:to>
    <xdr:pic>
      <xdr:nvPicPr>
        <xdr:cNvPr id="5" name="图片 4">
          <a:extLst>
            <a:ext uri="{FF2B5EF4-FFF2-40B4-BE49-F238E27FC236}">
              <a16:creationId xmlns:a16="http://schemas.microsoft.com/office/drawing/2014/main" id="{07DC575A-F431-9478-60F3-6F0E46033DA2}"/>
            </a:ext>
          </a:extLst>
        </xdr:cNvPr>
        <xdr:cNvPicPr>
          <a:picLocks noChangeAspect="1"/>
        </xdr:cNvPicPr>
      </xdr:nvPicPr>
      <xdr:blipFill>
        <a:blip xmlns:r="http://schemas.openxmlformats.org/officeDocument/2006/relationships" r:embed="rId4"/>
        <a:stretch>
          <a:fillRect/>
        </a:stretch>
      </xdr:blipFill>
      <xdr:spPr>
        <a:xfrm>
          <a:off x="0" y="19462750"/>
          <a:ext cx="9059041" cy="8012378"/>
        </a:xfrm>
        <a:prstGeom prst="rect">
          <a:avLst/>
        </a:prstGeom>
      </xdr:spPr>
    </xdr:pic>
    <xdr:clientData/>
  </xdr:twoCellAnchor>
  <xdr:twoCellAnchor editAs="oneCell">
    <xdr:from>
      <xdr:col>0</xdr:col>
      <xdr:colOff>196850</xdr:colOff>
      <xdr:row>154</xdr:row>
      <xdr:rowOff>95250</xdr:rowOff>
    </xdr:from>
    <xdr:to>
      <xdr:col>13</xdr:col>
      <xdr:colOff>412860</xdr:colOff>
      <xdr:row>193</xdr:row>
      <xdr:rowOff>157571</xdr:rowOff>
    </xdr:to>
    <xdr:pic>
      <xdr:nvPicPr>
        <xdr:cNvPr id="6" name="图片 5">
          <a:extLst>
            <a:ext uri="{FF2B5EF4-FFF2-40B4-BE49-F238E27FC236}">
              <a16:creationId xmlns:a16="http://schemas.microsoft.com/office/drawing/2014/main" id="{B8F2B8BF-55F1-5238-5CD2-54C75B18C205}"/>
            </a:ext>
          </a:extLst>
        </xdr:cNvPr>
        <xdr:cNvPicPr>
          <a:picLocks noChangeAspect="1"/>
        </xdr:cNvPicPr>
      </xdr:nvPicPr>
      <xdr:blipFill>
        <a:blip xmlns:r="http://schemas.openxmlformats.org/officeDocument/2006/relationships" r:embed="rId5"/>
        <a:stretch>
          <a:fillRect/>
        </a:stretch>
      </xdr:blipFill>
      <xdr:spPr>
        <a:xfrm>
          <a:off x="196850" y="27508200"/>
          <a:ext cx="8636110" cy="6996521"/>
        </a:xfrm>
        <a:prstGeom prst="rect">
          <a:avLst/>
        </a:prstGeom>
      </xdr:spPr>
    </xdr:pic>
    <xdr:clientData/>
  </xdr:twoCellAnchor>
  <xdr:twoCellAnchor editAs="oneCell">
    <xdr:from>
      <xdr:col>0</xdr:col>
      <xdr:colOff>0</xdr:colOff>
      <xdr:row>195</xdr:row>
      <xdr:rowOff>0</xdr:rowOff>
    </xdr:from>
    <xdr:to>
      <xdr:col>12</xdr:col>
      <xdr:colOff>350096</xdr:colOff>
      <xdr:row>228</xdr:row>
      <xdr:rowOff>68652</xdr:rowOff>
    </xdr:to>
    <xdr:pic>
      <xdr:nvPicPr>
        <xdr:cNvPr id="7" name="图片 6">
          <a:extLst>
            <a:ext uri="{FF2B5EF4-FFF2-40B4-BE49-F238E27FC236}">
              <a16:creationId xmlns:a16="http://schemas.microsoft.com/office/drawing/2014/main" id="{C25A5667-76B2-1081-2A94-114594E5DB1C}"/>
            </a:ext>
          </a:extLst>
        </xdr:cNvPr>
        <xdr:cNvPicPr>
          <a:picLocks noChangeAspect="1"/>
        </xdr:cNvPicPr>
      </xdr:nvPicPr>
      <xdr:blipFill>
        <a:blip xmlns:r="http://schemas.openxmlformats.org/officeDocument/2006/relationships" r:embed="rId6"/>
        <a:stretch>
          <a:fillRect/>
        </a:stretch>
      </xdr:blipFill>
      <xdr:spPr>
        <a:xfrm>
          <a:off x="0" y="34702750"/>
          <a:ext cx="8160596" cy="59360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北京市朝阳区朝阳路71号1层112房地产抵押价值预评估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受贵公司委托，我公司对北京市朝阳区朝阳路71号1层112房地产抵押价值进行了预评估。</v>
      </c>
    </row>
    <row r="7" spans="1:2">
      <c r="A7" s="1119" t="s">
        <v>566</v>
      </c>
      <c r="B7" s="1120" t="str">
        <f>'预评函-1'!A7</f>
        <v>估价对象为北京市朝阳区朝阳路71号1层112房地产，为吕海鹏所有。根据《国有土地使用证》[]，估价对象（分摊）出让国有建设用地使用权面积为0平方米，建筑面积为58.35平方米。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路71号1层112房地产,属吕海鹏开发建设的商业项目，该项目尚在开发建设中。根据《国有土地使用证》[]，估价对象（分摊）出让国有建设用地使用权面积为0平方米，规划建筑面积为58.35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2025年9月5日</v>
      </c>
    </row>
    <row r="13" spans="1:2">
      <c r="A13" s="1119" t="s">
        <v>529</v>
      </c>
      <c r="B13" s="1120"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129</v>
      </c>
    </row>
    <row r="21" spans="1:2">
      <c r="A21" s="1119" t="s">
        <v>537</v>
      </c>
      <c r="B21" s="1120">
        <f ca="1">'预评函-2'!D7</f>
        <v>22174</v>
      </c>
    </row>
    <row r="22" spans="1:2">
      <c r="A22" s="1119" t="s">
        <v>538</v>
      </c>
      <c r="B22" s="1120" t="str">
        <f ca="1">'预评函-2'!D6</f>
        <v>壹佰贰拾玖万元整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129</v>
      </c>
    </row>
    <row r="31" spans="1:2">
      <c r="A31" s="1119" t="s">
        <v>576</v>
      </c>
      <c r="B31" s="1120">
        <f ca="1">'预评函-2'!D15</f>
        <v>22174</v>
      </c>
    </row>
    <row r="32" spans="1:2">
      <c r="A32" s="1119" t="s">
        <v>543</v>
      </c>
      <c r="B32" s="1120" t="str">
        <f ca="1">'预评函-2'!D14</f>
        <v>壹佰贰拾玖万元整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北京市朝阳区朝阳路71号1层112房地产</v>
      </c>
    </row>
    <row r="42" spans="1:2" ht="30">
      <c r="A42" s="1119" t="s">
        <v>590</v>
      </c>
      <c r="B42" s="1120" t="str">
        <f>'预评函-3'!B2</f>
        <v>建筑面积</v>
      </c>
    </row>
    <row r="43" spans="1:2">
      <c r="A43" s="1119" t="s">
        <v>591</v>
      </c>
      <c r="B43" s="1120">
        <f>'预评函-3'!B4</f>
        <v>58.35</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3411</v>
      </c>
      <c r="Z2" s="1445" t="s">
        <v>2452</v>
      </c>
      <c r="AA2" s="1445" t="s">
        <v>3412</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3414</v>
      </c>
      <c r="Z8" s="1445" t="s">
        <v>2464</v>
      </c>
      <c r="AB8" s="1445" t="s">
        <v>2490</v>
      </c>
    </row>
    <row r="9" spans="1:28">
      <c r="A9" s="1441" t="s">
        <v>1029</v>
      </c>
      <c r="B9" s="1441" t="s">
        <v>1030</v>
      </c>
      <c r="C9" s="1442" t="s">
        <v>320</v>
      </c>
      <c r="F9" s="1443" t="s">
        <v>1031</v>
      </c>
      <c r="H9" s="1443"/>
      <c r="I9" s="1445" t="s">
        <v>3341</v>
      </c>
      <c r="X9" s="1445" t="s">
        <v>3415</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45905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1.28</v>
      </c>
      <c r="D5" s="2766">
        <f>IF(ISERROR(ROUND(POWER(1+E5,A5-C5)*(POWER(1+E5,C5)-1)/(POWER(1+E5,A5)-1),3)),0,ROUND(POWER(1+E5,A5-C5)*(POWER(1+E5,C5)-1)/(POWER(1+E5,A5)-1),4))</f>
        <v>6.1800000000000001E-2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11.29</v>
      </c>
      <c r="D6" s="2766">
        <f>IF(ISERROR(ROUND(POWER(1+E6,A6-C6)*(POWER(1+E6,C6)-1)/(POWER(1+E6,A6)-1),3)),0,ROUND(POWER(1+E6,A6-C6)*(POWER(1+E6,C6)-1)/(POWER(1+E6,A6)-1),4))</f>
        <v>0.41639999999999999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v>
      </c>
      <c r="D7" s="2766">
        <f>IF(ISERROR(ROUND(POWER(1+E7,A7-C7)*(POWER(1+E7,C7)-1)/(POWER(1+E7,A7)-1),3)),0,ROUND(POWER(1+E7,A7-C7)*(POWER(1+E7,C7)-1)/(POWER(1+E7,A7)-1),4))</f>
        <v>0.75549999999999995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北京市朝阳区朝阳路71号1层112房地产抵押价值预评估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北京市朝阳区朝阳路71号1层112房地产抵押价值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北京市朝阳区朝阳路71号1层112房地产</v>
      </c>
      <c r="T2" s="1618"/>
      <c r="U2" s="1618"/>
      <c r="V2" s="1618"/>
      <c r="W2" s="1618"/>
      <c r="X2" s="1618"/>
      <c r="Y2" s="1618"/>
      <c r="Z2" s="1618"/>
      <c r="AA2" s="1618"/>
      <c r="AB2" s="1618"/>
    </row>
    <row r="3" spans="1:30" ht="13">
      <c r="A3" s="294" t="s">
        <v>2170</v>
      </c>
      <c r="B3" s="2185"/>
      <c r="C3" s="2186" t="s">
        <v>2171</v>
      </c>
      <c r="D3" s="2185">
        <v>45905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3425</v>
      </c>
      <c r="C8" s="2201"/>
      <c r="D8" s="3220" t="s">
        <v>2177</v>
      </c>
      <c r="E8" s="2202" t="s">
        <v>3426</v>
      </c>
      <c r="F8" s="2203"/>
      <c r="G8" s="2441"/>
      <c r="H8" s="2441"/>
      <c r="I8" s="2441"/>
      <c r="J8" s="2244"/>
      <c r="K8" s="2399"/>
      <c r="L8" s="2398"/>
      <c r="M8" s="2398"/>
      <c r="N8" s="2244"/>
      <c r="O8" s="1670"/>
      <c r="P8" s="2244"/>
      <c r="Q8" s="2244"/>
      <c r="R8" s="2244"/>
    </row>
    <row r="9" spans="1:30" ht="13.5" thickBot="1">
      <c r="A9" s="2204" t="s">
        <v>2178</v>
      </c>
      <c r="B9" s="2205" t="s">
        <v>3426</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05" t="s">
        <v>3416</v>
      </c>
      <c r="G10" s="2443"/>
      <c r="H10" s="2444"/>
      <c r="I10" s="2445"/>
      <c r="J10" s="2244"/>
      <c r="K10" s="2401"/>
      <c r="L10" s="2398"/>
      <c r="M10" s="2398"/>
      <c r="N10" s="2244"/>
      <c r="O10" s="1670"/>
      <c r="P10" s="2244"/>
      <c r="Q10" s="2244"/>
      <c r="R10" s="2244"/>
    </row>
    <row r="11" spans="1:30" ht="13">
      <c r="A11" s="2212" t="s">
        <v>2181</v>
      </c>
      <c r="B11" s="2213" t="s">
        <v>3420</v>
      </c>
      <c r="C11" s="3506"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53936</v>
      </c>
      <c r="E13" s="803"/>
      <c r="F13" s="803"/>
      <c r="G13" s="803"/>
      <c r="H13" s="803"/>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58.35</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272</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58.35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58.35</v>
      </c>
      <c r="H5" s="13">
        <f t="shared" ref="H5:AT5" si="0">SUM(H13:H656)</f>
        <v>58.35</v>
      </c>
      <c r="I5" s="13">
        <f t="shared" si="0"/>
        <v>58.35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58.35</v>
      </c>
      <c r="BA5" s="15">
        <f t="shared" si="1"/>
        <v>58.35</v>
      </c>
      <c r="BB5" s="15">
        <f t="shared" si="1"/>
        <v>58.35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3418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112</v>
      </c>
      <c r="D13" s="1513" t="s">
        <v>3417</v>
      </c>
      <c r="E13" s="13">
        <f>IF($C$3="是",ROUND($A$3*G13/$B$3,2),ROUND($A$3*(G13-AT13)/$B$3,2))</f>
        <v>0</v>
      </c>
      <c r="F13" s="29"/>
      <c r="G13" s="30">
        <f>H13+AC13+AT13</f>
        <v>58.35</v>
      </c>
      <c r="H13" s="17">
        <f>SUMIF(I$12:AB$12,"总值",I13:AB13)</f>
        <v>58.35</v>
      </c>
      <c r="I13" s="1514">
        <v>58.35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112</v>
      </c>
      <c r="AY13" s="1260">
        <f>ROUND($AY$6*AZ13/$AZ$5,2)</f>
        <v>0</v>
      </c>
      <c r="AZ13" s="13">
        <f>BA13+BL13</f>
        <v>58.35</v>
      </c>
      <c r="BA13" s="13">
        <f>SUM(BB13:BK13)</f>
        <v>58.35</v>
      </c>
      <c r="BB13" s="13">
        <f>IF($D13="是",I13-J13,0)</f>
        <v>58.35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58.35</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58.35</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58.35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58.35</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112</v>
      </c>
      <c r="D19" s="43">
        <f>ROUND($D$3*E19/$E$3,2)</f>
        <v>0</v>
      </c>
      <c r="E19" s="51">
        <f t="shared" ref="E19:E26" si="1">SUM(F19:G19)</f>
        <v>58.35</v>
      </c>
      <c r="F19" s="2556">
        <f>'数据-基础表'!G13</f>
        <v>58.35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58.35</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58.35</v>
      </c>
      <c r="F27" s="1072">
        <f>IF(SUM(F19:F26)=E8,SUM(F19:F26),"地上面积有误")</f>
        <v>58.35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58.35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58.35</v>
      </c>
      <c r="F31" s="644">
        <f>F27+F30</f>
        <v>58.35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7" sqref="Q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112</v>
      </c>
      <c r="B6" s="1587" t="str">
        <f>IF(A6=0,"","经营性")</f>
        <v>经营性</v>
      </c>
      <c r="C6" s="1588" t="s">
        <v>673</v>
      </c>
      <c r="D6" s="805">
        <f>SUMIF(项目基本情况!C$12:I$12,C6,项目基本情况!C$14:I$14)</f>
        <v>0</v>
      </c>
      <c r="E6" s="804">
        <f>IF(B6="","",SUMIF(项目基本情况!C$12:I$12,C6,项目基本情况!C$13:I$13))</f>
        <v>53936</v>
      </c>
      <c r="F6" s="61">
        <f>SUMIF(项目基本情况!C$12:I$12,C6,项目基本情况!C$15:I$15)</f>
        <v>22</v>
      </c>
      <c r="G6" s="62">
        <f>IF(ISERROR(ROUND(POWER(1+H6,D6-F6)*(POWER(1+H6,F6)-1)/(POWER(1+H6,D6)-1),3)),0,ROUND(POWER(1+H6,D6-F6)*(POWER(1+H6,F6)-1)/(POWER(1+H6,D6)-1),3))</f>
        <v>0</v>
      </c>
      <c r="H6" s="691">
        <v>0.05</v>
      </c>
      <c r="I6" s="691">
        <v>5.5E-2</v>
      </c>
      <c r="J6" s="63">
        <v>7.0000000000000007E-2</v>
      </c>
      <c r="K6" s="970">
        <f>SUMIF('数据-汇总表'!C$19:C$33,A6,'数据-汇总表'!E$19:E$33)</f>
        <v>58.35</v>
      </c>
      <c r="L6" s="692">
        <v>4000</v>
      </c>
      <c r="M6" s="64">
        <f t="shared" ref="M6:M14" si="0">ROUND(K6*L6/10000,0)</f>
        <v>23</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v>
      </c>
      <c r="V6" s="67">
        <v>1.4999999999999999E-2</v>
      </c>
      <c r="W6" s="67">
        <v>0.1</v>
      </c>
      <c r="X6" s="979"/>
      <c r="Y6" s="68">
        <f>N6</f>
        <v>0.73</v>
      </c>
      <c r="Z6" s="69"/>
      <c r="AA6" s="63"/>
      <c r="AB6" s="63"/>
      <c r="AC6" s="979"/>
      <c r="AD6" s="70"/>
      <c r="AE6" s="980">
        <f ca="1">IF(AN6="",0,SUMIF(INDIRECT("'"&amp;AN6&amp;"'"&amp;"!E:E"),$AE$5,INDIRECT("'"&amp;AN6&amp;"'"&amp;"!F:F")))</f>
        <v>22</v>
      </c>
      <c r="AF6" s="74"/>
      <c r="AG6" s="130">
        <f>IF(AF6="",0,AE6-AF6)</f>
        <v>0</v>
      </c>
      <c r="AH6" s="71"/>
      <c r="AI6" s="73">
        <v>365</v>
      </c>
      <c r="AJ6" s="74"/>
      <c r="AK6" s="75">
        <v>0.01</v>
      </c>
      <c r="AL6" s="76">
        <v>1E-3</v>
      </c>
      <c r="AM6" s="77">
        <v>0.01</v>
      </c>
      <c r="AN6" s="1589" t="s">
        <v>3430</v>
      </c>
      <c r="AO6" s="50">
        <f ca="1">SUMIF(INDIRECT("'"&amp;AN6&amp;"'"&amp;"!A:A"),"总价",INDIRECT("'"&amp;AN6&amp;"'"&amp;"!B:B"))</f>
        <v>111.72880000000001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58.35</v>
      </c>
      <c r="L16" s="87">
        <f>ROUND(M16*10000/SUM(K6:K14),0)</f>
        <v>3942</v>
      </c>
      <c r="M16" s="87">
        <f>SUM(M6:M14)</f>
        <v>23</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v>2009</v>
      </c>
      <c r="O18" s="3507" t="s">
        <v>3428</v>
      </c>
      <c r="P18" s="2447">
        <f>N18-2+40</f>
        <v>2047</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508" t="s">
        <v>3429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58.35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45905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129</v>
      </c>
      <c r="C5" s="2299">
        <f ca="1">IF(B5=D14,结果表!H102,ROUND(B5*10000/$B$1,0))</f>
        <v>22174</v>
      </c>
      <c r="D5" s="2299" t="e">
        <f ca="1">ROUND(B5*10000/$B$2,0)</f>
        <v>#DIV/0!</v>
      </c>
      <c r="E5" s="2460"/>
      <c r="F5" s="2461"/>
      <c r="G5" s="2461"/>
      <c r="H5" s="2461"/>
      <c r="I5" s="2461"/>
      <c r="J5" s="2461"/>
      <c r="K5" s="2461"/>
    </row>
    <row r="6" spans="1:11" ht="16.5">
      <c r="A6" s="2299" t="s">
        <v>656</v>
      </c>
      <c r="B6" s="2299">
        <f ca="1">SUM(G14:G23)</f>
        <v>129</v>
      </c>
      <c r="C6" s="2299">
        <f ca="1">IF(B6=G14,结果表!H108,ROUND(B6*10000/$B$1,0))</f>
        <v>22174</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58.35</v>
      </c>
      <c r="C14" s="2305"/>
      <c r="D14" s="2305">
        <f ca="1">结果表!H118</f>
        <v>129</v>
      </c>
      <c r="E14" s="2305">
        <f ca="1">结果表!I118</f>
        <v>22174</v>
      </c>
      <c r="F14" s="2305" t="e">
        <f ca="1">ROUND(D14*10000/C14,0)</f>
        <v>#DIV/0!</v>
      </c>
      <c r="G14" s="2305">
        <f ca="1">D14</f>
        <v>129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0" t="str">
        <f>项目基本情况!S2</f>
        <v>北京市朝阳区朝阳路71号1层112房地产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3483</v>
      </c>
      <c r="D4" s="1626" t="s">
        <v>3430</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3</v>
      </c>
      <c r="D14" s="3293">
        <v>7</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280" t="s">
        <v>2131</v>
      </c>
      <c r="F18" s="3281"/>
      <c r="G18" s="3281"/>
      <c r="H18" s="3281"/>
      <c r="I18" s="3281"/>
      <c r="K18" s="294" t="s">
        <v>1289</v>
      </c>
      <c r="L18" s="294">
        <f>IF(C1="",'数据-汇总表'!E3,SUMIF(项目类型,C1,'数据-汇总表'!E17:E26)+SUMIF(项目类型,C1,'数据-汇总表'!I17:I26))</f>
        <v>58.35</v>
      </c>
      <c r="M18" s="294">
        <f>IF(C1="",'数据-汇总表'!E3,SUMIF(项目类型,C1,'数据-汇总表'!E17:E26))</f>
        <v>58.35</v>
      </c>
    </row>
    <row r="19" spans="1:36" ht="14">
      <c r="A19" s="1630" t="s">
        <v>1290</v>
      </c>
      <c r="B19" s="1631" t="s">
        <v>1291</v>
      </c>
      <c r="C19" s="126">
        <f ca="1">SUMIF(INDIRECT("'"&amp;C4&amp;"'"&amp;"!A:A"),结果表!B19,INDIRECT("'"&amp;C4&amp;"'"&amp;"!B:B"))</f>
        <v>170.5746</v>
      </c>
      <c r="D19" s="127">
        <f ca="1">SUMIF(INDIRECT("'"&amp;D4&amp;"'"&amp;"!A:A"),结果表!B19,INDIRECT("'"&amp;D4&amp;"'"&amp;"!B:B"))</f>
        <v>111.72880000000001</v>
      </c>
      <c r="E19" s="1630" t="s">
        <v>1292</v>
      </c>
      <c r="F19" s="1631" t="s">
        <v>1291</v>
      </c>
      <c r="G19" s="128">
        <f ca="1">ROUND(C19*$C$18+D19*$D$18,0)</f>
        <v>129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29233</v>
      </c>
      <c r="D20" s="130">
        <f ca="1">SUMIF(INDIRECT("'"&amp;D4&amp;"'"&amp;"!A:A"),结果表!B20,INDIRECT("'"&amp;D4&amp;"'"&amp;"!B:B"))</f>
        <v>19148</v>
      </c>
      <c r="E20" s="1633"/>
      <c r="F20" s="43" t="s">
        <v>1295</v>
      </c>
      <c r="G20" s="131">
        <f ca="1">ROUND(C20*$C$18+D20*$D$18,0)</f>
        <v>22174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0.52668425687915743</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22174</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129</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45905</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0" t="s">
        <v>1340</v>
      </c>
      <c r="L48" s="3320"/>
      <c r="M48" s="3342">
        <f ca="1">H101</f>
        <v>129</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129</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7</v>
      </c>
      <c r="E52" s="1256" t="s">
        <v>1354</v>
      </c>
      <c r="F52" s="2339">
        <f>'数据-取费表'!B41</f>
        <v>5.5000000000000007E-2</v>
      </c>
      <c r="G52" s="2340"/>
      <c r="H52" s="2330"/>
      <c r="I52" s="1669"/>
      <c r="J52" s="2309">
        <v>1</v>
      </c>
      <c r="K52" s="3321" t="s">
        <v>1355</v>
      </c>
      <c r="L52" s="3321"/>
      <c r="M52" s="2311" t="b">
        <f>D48</f>
        <v>0</v>
      </c>
      <c r="N52" s="2309" t="str">
        <f>E48</f>
        <v>销售额×税（费）率</v>
      </c>
      <c r="O52" s="2312">
        <f>F48</f>
        <v>5.5000000000000007E-2</v>
      </c>
    </row>
    <row r="53" spans="1:35" ht="12" customHeight="1">
      <c r="A53" s="2153" t="s">
        <v>1356</v>
      </c>
      <c r="B53" s="3282" t="s">
        <v>2291</v>
      </c>
      <c r="C53" s="3283"/>
      <c r="D53" s="1024">
        <f ca="1">ROUND(D45*'数据-取费表'!B41/(1+'数据-取费表'!C42),0)</f>
        <v>7</v>
      </c>
      <c r="E53" s="1256" t="s">
        <v>1354</v>
      </c>
      <c r="F53" s="2339">
        <f>'数据-取费表'!B41</f>
        <v>5.5000000000000007E-2</v>
      </c>
      <c r="G53" s="2340"/>
      <c r="H53" s="2330"/>
      <c r="I53" s="1669"/>
      <c r="J53" s="2309">
        <v>2</v>
      </c>
      <c r="K53" s="3321" t="s">
        <v>1357</v>
      </c>
      <c r="L53" s="3321"/>
      <c r="M53" s="2311">
        <f t="shared" ref="M53:O54" ca="1" si="0">D55</f>
        <v>0</v>
      </c>
      <c r="N53" s="2309" t="str">
        <f t="shared" si="0"/>
        <v>销售额×税（费）率</v>
      </c>
      <c r="O53" s="2312" t="str">
        <f t="shared" si="0"/>
        <v>免征</v>
      </c>
    </row>
    <row r="54" spans="1:35" ht="12" customHeight="1">
      <c r="A54" s="2153" t="s">
        <v>1358</v>
      </c>
      <c r="B54" s="3282" t="s">
        <v>2292</v>
      </c>
      <c r="C54" s="3283"/>
      <c r="D54" s="1024">
        <f ca="1">C68</f>
        <v>7</v>
      </c>
      <c r="E54" s="319" t="s">
        <v>1359</v>
      </c>
      <c r="F54" s="2339">
        <f>'数据-取费表'!B41</f>
        <v>5.5000000000000007E-2</v>
      </c>
      <c r="G54" s="2340"/>
      <c r="H54" s="2341"/>
      <c r="I54" s="1669"/>
      <c r="J54" s="2309">
        <v>3</v>
      </c>
      <c r="K54" s="3321" t="s">
        <v>1360</v>
      </c>
      <c r="L54" s="3321"/>
      <c r="M54" s="2311">
        <f t="shared" ca="1" si="0"/>
        <v>73</v>
      </c>
      <c r="N54" s="2309" t="str">
        <f t="shared" si="0"/>
        <v>增值额×税（费）率</v>
      </c>
      <c r="O54" s="2313" t="str">
        <f t="shared" si="0"/>
        <v>免征</v>
      </c>
    </row>
    <row r="55" spans="1:35" ht="24" customHeight="1">
      <c r="A55" s="3271" t="s">
        <v>1361</v>
      </c>
      <c r="B55" s="3272"/>
      <c r="C55" s="3272"/>
      <c r="D55" s="12">
        <f ca="1">IF(H55="个人住宅",0,ROUND(D45*I55,0))</f>
        <v>0</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1</v>
      </c>
      <c r="N55" s="1883" t="str">
        <f>E59</f>
        <v>差额计税</v>
      </c>
      <c r="O55" s="2315">
        <f>F59</f>
        <v>0.01</v>
      </c>
    </row>
    <row r="56" spans="1:35" ht="26">
      <c r="A56" s="3271" t="s">
        <v>1363</v>
      </c>
      <c r="B56" s="3272"/>
      <c r="C56" s="3272"/>
      <c r="D56" s="12">
        <f ca="1">IF(H56="个人住宅",D57,D58)</f>
        <v>73</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74</v>
      </c>
      <c r="O57" s="2319"/>
      <c r="P57" s="2463">
        <f ca="1">N57/M49</f>
        <v>0.5736434108527132</v>
      </c>
    </row>
    <row r="58" spans="1:35" ht="26">
      <c r="A58" s="2153" t="s">
        <v>1352</v>
      </c>
      <c r="B58" s="3282" t="s">
        <v>1369</v>
      </c>
      <c r="C58" s="3256"/>
      <c r="D58" s="12">
        <f ca="1">IF(H58="转让取得",C81,C97)</f>
        <v>73</v>
      </c>
      <c r="E58" s="1256" t="s">
        <v>1364</v>
      </c>
      <c r="F58" s="294" t="s">
        <v>28</v>
      </c>
      <c r="G58" s="2340"/>
      <c r="H58" s="2343"/>
      <c r="I58" s="1670"/>
      <c r="J58" s="3321"/>
      <c r="K58" s="3321"/>
      <c r="L58" s="2316" t="s">
        <v>1370</v>
      </c>
      <c r="M58" s="2320"/>
      <c r="N58" s="2321" t="str">
        <f ca="1">NUMBERSTRING(INT(N57*10000),2)&amp;"元整"</f>
        <v>柒拾肆万元整</v>
      </c>
      <c r="O58" s="2322"/>
    </row>
    <row r="59" spans="1:35" ht="26.5" thickBot="1">
      <c r="A59" s="3324" t="s">
        <v>1371</v>
      </c>
      <c r="B59" s="3325"/>
      <c r="C59" s="3325"/>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55</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伍拾伍万元整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9426</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123</v>
      </c>
      <c r="D63" s="159"/>
      <c r="E63" s="160"/>
      <c r="F63" s="1670"/>
      <c r="G63" s="1670"/>
      <c r="H63" s="151"/>
      <c r="I63" s="121"/>
      <c r="J63" s="3346" t="s">
        <v>1379</v>
      </c>
      <c r="K63" s="1245" t="s">
        <v>1380</v>
      </c>
      <c r="L63" s="1245">
        <f ca="1">IF(M49&gt;10000,M49*0.5%,IF(AND(M49&gt;1000,M49&lt;=10000),M49*1%,IF(AND(M49&gt;100,M49&lt;=1000),M49*3%,IF(AND(M49&gt;10,M49&lt;=100),M49*5%,M49*8%))))</f>
        <v>3.8699999999999997</v>
      </c>
      <c r="M63" s="294">
        <f ca="1">ROUND(L63,1)</f>
        <v>3.9</v>
      </c>
      <c r="N63" s="2329"/>
      <c r="Z63" s="1623"/>
      <c r="AI63" s="1561"/>
    </row>
    <row r="64" spans="1:35" ht="14.25" customHeight="1">
      <c r="A64" s="161" t="s">
        <v>325</v>
      </c>
      <c r="B64" s="162" t="s">
        <v>1381</v>
      </c>
      <c r="C64" s="2350">
        <f ca="1">D45</f>
        <v>129</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1.161</v>
      </c>
      <c r="M64" s="294">
        <f t="shared" ref="M64:M65" ca="1" si="1">ROUND(L64,1)</f>
        <v>1.2</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1.29</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0.64500000000000002</v>
      </c>
      <c r="M66" s="294">
        <f ca="1">IF(L66&gt;0.5,0.5,ROUND(L66,0))</f>
        <v>0.5</v>
      </c>
      <c r="N66" s="2330" t="s">
        <v>1388</v>
      </c>
      <c r="Z66" s="1623"/>
      <c r="AI66" s="1561"/>
    </row>
    <row r="67" spans="1:35" ht="14.25" customHeight="1">
      <c r="A67" s="165" t="s">
        <v>328</v>
      </c>
      <c r="B67" s="166" t="s">
        <v>1389</v>
      </c>
      <c r="C67" s="2353">
        <f ca="1">C63-C66</f>
        <v>123</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0.57250000000000001</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346"/>
      <c r="K68" s="1245" t="s">
        <v>1392</v>
      </c>
      <c r="L68" s="1245">
        <f ca="1">IF(M49&gt;10000,M49*0.5%,IF(AND(M49&gt;5000,M49&lt;=10000),M49*1%,IF(AND(M49&gt;1000,M49&lt;=5000),M49*2%,IF(AND(M49&gt;200,M49&lt;=1000),M49*3%,M49*5%))))</f>
        <v>6.45</v>
      </c>
      <c r="M68" s="294">
        <f ca="1">ROUND(L68,1)</f>
        <v>6.5</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14</v>
      </c>
      <c r="N69" s="2331">
        <f ca="1">M69/M49</f>
        <v>0.10852713178294573</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比较法-商业</v>
      </c>
      <c r="D101" s="2371" t="str">
        <f>D4</f>
        <v>收益法 (元)</v>
      </c>
      <c r="E101" s="3343" t="s">
        <v>1431</v>
      </c>
      <c r="F101" s="3300"/>
      <c r="G101" s="1687" t="s">
        <v>1432</v>
      </c>
      <c r="H101" s="2380">
        <f ca="1">H118</f>
        <v>129</v>
      </c>
      <c r="I101" s="121"/>
    </row>
    <row r="102" spans="1:35" ht="18.75" customHeight="1">
      <c r="A102" s="3302" t="s">
        <v>1433</v>
      </c>
      <c r="B102" s="2369" t="s">
        <v>1432</v>
      </c>
      <c r="C102" s="2370">
        <f ca="1">IF(D32="楼面单价",ROUND(C19,0),C19)</f>
        <v>171</v>
      </c>
      <c r="D102" s="2371">
        <f ca="1">IF(D32="楼面单价",ROUND(D19,0),D19)</f>
        <v>112</v>
      </c>
      <c r="E102" s="3343"/>
      <c r="F102" s="3300"/>
      <c r="G102" s="1687" t="s">
        <v>1434</v>
      </c>
      <c r="H102" s="2340">
        <f ca="1">I118</f>
        <v>22174</v>
      </c>
      <c r="I102" s="121"/>
    </row>
    <row r="103" spans="1:35" ht="42.75" customHeight="1">
      <c r="A103" s="3302"/>
      <c r="B103" s="2369" t="s">
        <v>1434</v>
      </c>
      <c r="C103" s="2372">
        <f ca="1">C20</f>
        <v>29233</v>
      </c>
      <c r="D103" s="2373">
        <f ca="1">D20</f>
        <v>19148</v>
      </c>
      <c r="E103" s="3337" t="s">
        <v>1435</v>
      </c>
      <c r="F103" s="3338"/>
      <c r="G103" s="1688" t="s">
        <v>1436</v>
      </c>
      <c r="H103" s="2380">
        <f>IF(D36="正常操作",H104+H105+H106,H105+H106)</f>
        <v>0</v>
      </c>
      <c r="I103" s="121"/>
    </row>
    <row r="104" spans="1:35" ht="18.75" customHeight="1">
      <c r="A104" s="3302" t="s">
        <v>1437</v>
      </c>
      <c r="B104" s="2374" t="s">
        <v>1432</v>
      </c>
      <c r="C104" s="2375">
        <f ca="1">H118</f>
        <v>129</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22174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129</v>
      </c>
      <c r="I107" s="121"/>
    </row>
    <row r="108" spans="1:35" ht="18.75" customHeight="1">
      <c r="A108" s="121"/>
      <c r="B108" s="121"/>
      <c r="C108" s="121"/>
      <c r="D108" s="121"/>
      <c r="E108" s="3299"/>
      <c r="F108" s="3300"/>
      <c r="G108" s="1687" t="s">
        <v>1434</v>
      </c>
      <c r="H108" s="2340">
        <f ca="1">IF(H107=H101,H102,ROUND(H107*10000/'数据-汇总表'!E3,0))</f>
        <v>22174</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北京市朝阳区朝阳路71号1层112房地产</v>
      </c>
      <c r="B118" s="2150">
        <f>M18</f>
        <v>58.35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129</v>
      </c>
      <c r="I118" s="2150">
        <f ca="1">ROUND(IF(D32="楼面单价",C32,H118*10000/B118),0)</f>
        <v>22174</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壹佰贰拾玖万元整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129</v>
      </c>
      <c r="E122" s="3335"/>
      <c r="F122" s="3335"/>
      <c r="G122" s="3335"/>
      <c r="H122" s="3335"/>
      <c r="I122" s="3336"/>
      <c r="AA122" s="684"/>
    </row>
    <row r="123" spans="1:27" ht="18.75" customHeight="1">
      <c r="A123" s="3270" t="s">
        <v>1452</v>
      </c>
      <c r="B123" s="3270"/>
      <c r="C123" s="3270"/>
      <c r="D123" s="3310" t="str">
        <f ca="1">NUMBERSTRING(INT(D122*10000),2)&amp;"元整"</f>
        <v>壹佰贰拾玖万元整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4456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58.35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58.35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58.35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25</v>
      </c>
      <c r="D51" s="224"/>
      <c r="E51" s="224"/>
      <c r="F51" s="256"/>
      <c r="G51" s="226" t="s">
        <v>1560</v>
      </c>
    </row>
    <row r="52" spans="1:7" s="200" customFormat="1" ht="16.5" thickBot="1">
      <c r="A52" s="257" t="s">
        <v>1561</v>
      </c>
      <c r="B52" s="258"/>
      <c r="C52" s="259">
        <f ca="1">C31+C51</f>
        <v>26</v>
      </c>
      <c r="D52" s="258"/>
      <c r="E52" s="258"/>
      <c r="F52" s="258"/>
      <c r="G52" s="260"/>
    </row>
    <row r="55" spans="1:7" ht="15.5">
      <c r="B55" s="262" t="s">
        <v>1562</v>
      </c>
      <c r="C55" s="263"/>
    </row>
    <row r="56" spans="1:7" ht="13">
      <c r="B56" s="265" t="s">
        <v>802</v>
      </c>
      <c r="C56" s="267">
        <f ca="1">1-C57</f>
        <v>3.8000000000000034E-2</v>
      </c>
    </row>
    <row r="57" spans="1:7" ht="13">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北京市朝阳区朝阳路71号1层112房地产抵押价值预评估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112</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195.8032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33557</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1276497</v>
      </c>
      <c r="D5" s="203" t="s">
        <v>1469</v>
      </c>
      <c r="E5" s="204" t="s">
        <v>1470</v>
      </c>
      <c r="F5" s="204" t="s">
        <v>1471</v>
      </c>
      <c r="G5" s="205"/>
    </row>
    <row r="6" spans="1:8" s="206" customFormat="1" ht="13.5" customHeight="1">
      <c r="A6" s="732" t="s">
        <v>1472</v>
      </c>
      <c r="B6" s="207" t="s">
        <v>1473</v>
      </c>
      <c r="C6" s="208">
        <f>ROUND(基准地价修正!D33*基准地价修正!C33,0)</f>
        <v>1227392</v>
      </c>
      <c r="D6" s="209"/>
      <c r="E6" s="210"/>
      <c r="F6" s="210"/>
      <c r="G6" s="211"/>
    </row>
    <row r="7" spans="1:8" s="206" customFormat="1" ht="13.5" customHeight="1">
      <c r="A7" s="732" t="s">
        <v>1474</v>
      </c>
      <c r="B7" s="207" t="s">
        <v>1475</v>
      </c>
      <c r="C7" s="212">
        <f>ROUND(C6*F7,0)</f>
        <v>37435</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11670</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11670</v>
      </c>
      <c r="D10" s="795">
        <f ca="1">IF(B1="",'数据-汇总表'!E6,IF(INDIRECT("'数据-取费表'!c"&amp;$G$1)="住宅",INDIRECT("'数据-取费表'!s"&amp;$G$1),INDIRECT("'数据-取费表'!k"&amp;$G$1)+INDIRECT("'数据-取费表'!s"&amp;$G$1)))</f>
        <v>58.35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58.35</v>
      </c>
      <c r="E19" s="203">
        <f>'数据-取费表'!B31</f>
        <v>200</v>
      </c>
      <c r="F19" s="223"/>
      <c r="G19" s="1714" t="s">
        <v>3440</v>
      </c>
    </row>
    <row r="20" spans="1:7" s="206" customFormat="1" ht="13.5" customHeight="1">
      <c r="A20" s="247" t="s">
        <v>1574</v>
      </c>
      <c r="B20" s="202" t="s">
        <v>1575</v>
      </c>
      <c r="C20" s="224">
        <f ca="1">ROUND((C5+C19)*F20,0)</f>
        <v>25530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81958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81159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799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195304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195304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1709187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261408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233400</v>
      </c>
      <c r="D34" s="209"/>
      <c r="E34" s="212"/>
      <c r="F34" s="249"/>
      <c r="G34" s="211"/>
    </row>
    <row r="35" spans="1:7" ht="13.5" customHeight="1">
      <c r="A35" s="734" t="s">
        <v>351</v>
      </c>
      <c r="B35" s="207" t="s">
        <v>1527</v>
      </c>
      <c r="C35" s="212">
        <f ca="1">ROUND(C34*F35,0)</f>
        <v>11670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11670</v>
      </c>
      <c r="D37" s="209">
        <f ca="1">D19</f>
        <v>58.35</v>
      </c>
      <c r="E37" s="241">
        <f>'数据-取费表'!B35</f>
        <v>200</v>
      </c>
      <c r="F37" s="251"/>
      <c r="G37" s="253"/>
    </row>
    <row r="38" spans="1:7" ht="13.5" customHeight="1">
      <c r="A38" s="734" t="s">
        <v>354</v>
      </c>
      <c r="B38" s="207" t="s">
        <v>1533</v>
      </c>
      <c r="C38" s="212">
        <f ca="1">ROUND(C34*F38,0)</f>
        <v>4668</v>
      </c>
      <c r="D38" s="212"/>
      <c r="E38" s="212"/>
      <c r="F38" s="251">
        <f>'数据-取费表'!B36</f>
        <v>0.02</v>
      </c>
      <c r="G38" s="211" t="s">
        <v>1528</v>
      </c>
    </row>
    <row r="39" spans="1:7" s="206" customFormat="1" ht="13.5" customHeight="1">
      <c r="A39" s="247" t="s">
        <v>1534</v>
      </c>
      <c r="B39" s="202" t="s">
        <v>1535</v>
      </c>
      <c r="C39" s="224">
        <f ca="1">ROUND(C33*F20,0)</f>
        <v>5228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8346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8182</v>
      </c>
      <c r="D42" s="230"/>
      <c r="E42" s="230"/>
      <c r="F42" s="231"/>
      <c r="G42" s="3350" t="s">
        <v>1591</v>
      </c>
    </row>
    <row r="43" spans="1:7" ht="13.5" customHeight="1">
      <c r="A43" s="734" t="s">
        <v>347</v>
      </c>
      <c r="B43" s="207" t="s">
        <v>1545</v>
      </c>
      <c r="C43" s="230">
        <f ca="1">ROUND(IF('数据-取费表'!B22&lt;=1,C39*F22*'数据-取费表'!B20/2,C39*(POWER((1+F22),'数据-取费表'!B20/2)-1)),0)</f>
        <v>164</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39995</v>
      </c>
      <c r="D45" s="227">
        <f ca="1">C47</f>
        <v>3.0000000000000001E-3</v>
      </c>
      <c r="E45" s="228" t="s">
        <v>1539</v>
      </c>
      <c r="F45" s="238">
        <f ca="1">F27</f>
        <v>0.15</v>
      </c>
      <c r="G45" s="239" t="s">
        <v>1548</v>
      </c>
    </row>
    <row r="46" spans="1:7" s="206" customFormat="1" ht="13.5" customHeight="1">
      <c r="A46" s="734" t="s">
        <v>346</v>
      </c>
      <c r="B46" s="240" t="s">
        <v>1549</v>
      </c>
      <c r="C46" s="241">
        <f ca="1">ROUND((C33+C39)*F27,0)</f>
        <v>39995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340884</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248845</v>
      </c>
      <c r="D51" s="224"/>
      <c r="E51" s="224"/>
      <c r="F51" s="256"/>
      <c r="G51" s="226" t="s">
        <v>1560</v>
      </c>
    </row>
    <row r="52" spans="1:7" s="200" customFormat="1" ht="16.5" thickBot="1">
      <c r="A52" s="257" t="s">
        <v>1561</v>
      </c>
      <c r="B52" s="258"/>
      <c r="C52" s="259">
        <f ca="1">C31+C51</f>
        <v>1958032</v>
      </c>
      <c r="D52" s="258"/>
      <c r="E52" s="258"/>
      <c r="F52" s="258"/>
      <c r="G52" s="260"/>
    </row>
    <row r="55" spans="1:7" ht="15.5">
      <c r="B55" s="262" t="s">
        <v>1562</v>
      </c>
      <c r="C55" s="263"/>
    </row>
    <row r="56" spans="1:7" ht="13">
      <c r="B56" s="265" t="s">
        <v>802</v>
      </c>
      <c r="C56" s="267">
        <f ca="1">1-C57</f>
        <v>0.873</v>
      </c>
    </row>
    <row r="57" spans="1:7" ht="13">
      <c r="B57" s="265" t="s">
        <v>803</v>
      </c>
      <c r="C57" s="266">
        <f ca="1">ROUND(C51/C52,3)</f>
        <v>0.127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58.35</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4" zoomScaleNormal="80" zoomScaleSheetLayoutView="100" workbookViewId="0">
      <selection activeCell="C58" sqref="C5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58.35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21035</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16580</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16570</v>
      </c>
      <c r="N4" s="813">
        <f>SUMPRODUCT((因素修正幅度!B55:B86=I2)*(因素修正幅度!C3:G3=E2)*(因素修正幅度!C55:G86))</f>
        <v>0.1</v>
      </c>
      <c r="O4" s="1056"/>
      <c r="P4" s="1056"/>
      <c r="Q4" s="1056"/>
      <c r="R4" s="1129">
        <v>3</v>
      </c>
      <c r="S4" s="3062">
        <f>ROUND(SUMPRODUCT((B106:B110=R4)*(C105:N105=G2)*(C106:N110)),4)</f>
        <v>1.0004999999999999</v>
      </c>
      <c r="T4" s="3062">
        <f t="shared" si="0"/>
        <v>14013</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16570</v>
      </c>
      <c r="D5" s="1252">
        <f>ROUND(C6*C17+C20,0)</f>
        <v>16570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12359</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16570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11877</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45905</v>
      </c>
      <c r="H23" s="3047" t="s">
        <v>3434</v>
      </c>
      <c r="I23" s="3048" t="str">
        <f>IF(H23="季度增幅（自定义）",SUMIF(N25:N28,E2,O25:O28),"")</f>
        <v/>
      </c>
      <c r="J23" s="3140" t="s">
        <v>3433</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0.78420000000000001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3435</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1.0489999999999999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21035</v>
      </c>
      <c r="D33" s="1940">
        <f>'数据-汇总表'!E19</f>
        <v>58.35</v>
      </c>
      <c r="E33" s="727">
        <f>ROUND(C33*D33/10000,0)</f>
        <v>123</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8403</v>
      </c>
      <c r="D37" s="1940"/>
      <c r="E37" s="163">
        <f>ROUND(C37*D37/10000,0)</f>
        <v>0</v>
      </c>
      <c r="F37" s="163">
        <f>SUMIF(修正!A59:A70,G2,修正!B59:B70)</f>
        <v>0.6</v>
      </c>
      <c r="G37" s="163">
        <f>ROUND(IF(E2="工业",C37*$M$42,C37*$M$41),0)</f>
        <v>2101</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4202</v>
      </c>
      <c r="D38" s="1940"/>
      <c r="E38" s="163">
        <f t="shared" ref="E38:E42" si="4">ROUND(C38*D38/10000,0)</f>
        <v>0</v>
      </c>
      <c r="F38" s="163">
        <f>SUMIF(修正!A59:A70,G2,修正!C59:C70)</f>
        <v>0.3</v>
      </c>
      <c r="G38" s="163">
        <f>ROUND(IF(E2="工业",C38*$M$42,C38*$M$41),0)</f>
        <v>1051</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3501</v>
      </c>
      <c r="D39" s="1940"/>
      <c r="E39" s="163">
        <f t="shared" si="4"/>
        <v>0</v>
      </c>
      <c r="F39" s="163">
        <f>SUMIF(修正!A59:A70,G2,修正!D59:D70)</f>
        <v>0.25</v>
      </c>
      <c r="G39" s="163">
        <f>ROUND(IF(E2="工业",C39*$M$42,C39*$M$41),0)</f>
        <v>875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3501</v>
      </c>
      <c r="D40" s="1940"/>
      <c r="E40" s="163">
        <f t="shared" si="4"/>
        <v>0</v>
      </c>
      <c r="F40" s="167">
        <f>SUMIF(修正!A59:A70,G2,修正!E59:E70)</f>
        <v>0.25</v>
      </c>
      <c r="G40" s="163">
        <f>ROUND(IF(E2="工业",C40*$M$42,C40*$M$41),0)</f>
        <v>875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1.0489999999999999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3436</v>
      </c>
      <c r="D50" s="1002">
        <f t="shared" ref="D50:D58" si="7">SUMIF($J$49:$N$49,C50,J50:N50)</f>
        <v>1.4999999999999999E-2</v>
      </c>
      <c r="E50" s="702">
        <f>ROUND(SUM(D50:D58),4)</f>
        <v>4.9000000000000002E-2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3436</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3436</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9">
      <c r="A53" s="1970" t="s">
        <v>2054</v>
      </c>
      <c r="B53" s="1974" t="s">
        <v>2055</v>
      </c>
      <c r="C53" s="1887" t="s">
        <v>3437</v>
      </c>
      <c r="D53" s="1002">
        <f t="shared" si="7"/>
        <v>0</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3436</v>
      </c>
      <c r="D54" s="1002">
        <f t="shared" si="7"/>
        <v>4.0000000000000001E-3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6">
      <c r="A55" s="1970" t="s">
        <v>2057</v>
      </c>
      <c r="B55" s="1975" t="s">
        <v>2058</v>
      </c>
      <c r="C55" s="1887" t="s">
        <v>3436</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3436</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3438</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3437</v>
      </c>
      <c r="D58" s="1002">
        <f t="shared" si="7"/>
        <v>0</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56"/>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60" zoomScaleNormal="70" workbookViewId="0">
      <selection activeCell="K43" sqref="K43"/>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v>112</v>
      </c>
      <c r="E1" s="3123" t="s">
        <v>3441</v>
      </c>
      <c r="F1" s="1735" t="s">
        <v>3442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170.5746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29233</v>
      </c>
      <c r="C3" s="344" t="s">
        <v>1768</v>
      </c>
      <c r="D3" s="343">
        <f>IF(D1="",'数据-汇总表'!E3,SUMIF('数据-汇总表'!$C19:$C33,D1,'数据-汇总表'!$E19:$E33))</f>
        <v>58.35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ht="14" customHeight="1">
      <c r="A5" s="348"/>
      <c r="B5" s="349"/>
      <c r="C5" s="3514" t="s">
        <v>3474</v>
      </c>
      <c r="D5" s="3416"/>
      <c r="E5" s="3515" t="s">
        <v>3475</v>
      </c>
      <c r="F5" s="3423"/>
      <c r="G5" s="3515" t="s">
        <v>3475</v>
      </c>
      <c r="H5" s="3423"/>
      <c r="I5" s="3515" t="s">
        <v>3479</v>
      </c>
      <c r="J5" s="3423"/>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45905</v>
      </c>
      <c r="D7" s="355">
        <v>100</v>
      </c>
      <c r="E7" s="356">
        <f>C7</f>
        <v>45905</v>
      </c>
      <c r="F7" s="357">
        <f>SUMIF(58:58,YEAR(E7)&amp;"-"&amp;MONTH(E7),59:59)</f>
        <v>100</v>
      </c>
      <c r="G7" s="356">
        <f>C7</f>
        <v>45905</v>
      </c>
      <c r="H7" s="355">
        <f>SUMIF(58:58,YEAR(G7)&amp;"-"&amp;MONTH(G7),59:59)</f>
        <v>100</v>
      </c>
      <c r="I7" s="356">
        <f>C7</f>
        <v>45905</v>
      </c>
      <c r="J7" s="355">
        <f>SUMIF(58:58,YEAR(I7)&amp;"-"&amp;MONTH(I7),59:59)</f>
        <v>100</v>
      </c>
      <c r="K7" s="38"/>
      <c r="L7" s="2487"/>
      <c r="M7" s="2439"/>
      <c r="N7" s="2439"/>
      <c r="O7" s="2439"/>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4.5" thickBot="1">
      <c r="A8" s="352" t="s">
        <v>1681</v>
      </c>
      <c r="B8" s="353"/>
      <c r="C8" s="358" t="s">
        <v>3456</v>
      </c>
      <c r="D8" s="355">
        <v>100</v>
      </c>
      <c r="E8" s="358" t="s">
        <v>3454</v>
      </c>
      <c r="F8" s="357">
        <f>SUMIF(61:61,E8,62:62)-SUMIF(61:61,C8,62:62)+100</f>
        <v>105</v>
      </c>
      <c r="G8" s="358" t="s">
        <v>3454</v>
      </c>
      <c r="H8" s="355">
        <f>SUMIF(61:61,G8,62:62)-SUMIF(61:61,C8,62:62)+100</f>
        <v>105</v>
      </c>
      <c r="I8" s="358" t="s">
        <v>3454</v>
      </c>
      <c r="J8" s="355">
        <f>SUMIF(61:61,I8,62:62)-SUMIF(61:61,C8,62:62)+100</f>
        <v>105</v>
      </c>
      <c r="K8" s="38"/>
      <c r="L8" s="2487"/>
      <c r="M8" s="2439"/>
      <c r="N8" s="2439"/>
      <c r="O8" s="2439"/>
      <c r="P8" s="3417" t="s">
        <v>1683</v>
      </c>
      <c r="Q8" s="3418"/>
      <c r="R8" s="664" t="s">
        <v>14</v>
      </c>
      <c r="S8" s="665">
        <f t="shared" si="0"/>
        <v>105</v>
      </c>
      <c r="T8" s="664" t="s">
        <v>14</v>
      </c>
      <c r="U8" s="665">
        <f t="shared" si="1"/>
        <v>105</v>
      </c>
      <c r="V8" s="664" t="s">
        <v>14</v>
      </c>
      <c r="W8" s="665">
        <f t="shared" si="2"/>
        <v>105</v>
      </c>
      <c r="X8" s="666"/>
      <c r="Y8" s="3417" t="s">
        <v>1683</v>
      </c>
      <c r="Z8" s="341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5</v>
      </c>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t="s">
        <v>3471</v>
      </c>
      <c r="D25" s="374">
        <v>100</v>
      </c>
      <c r="E25" s="542" t="s">
        <v>3469</v>
      </c>
      <c r="F25" s="400">
        <f>SUMIF(86:86,E25,87:87)-SUMIF(86:86,C25,87:87)+100</f>
        <v>105</v>
      </c>
      <c r="G25" s="542" t="s">
        <v>3469</v>
      </c>
      <c r="H25" s="374">
        <f>SUMIF(86:86,G25,87:87)-SUMIF(86:86,C25,87:87)+100</f>
        <v>105</v>
      </c>
      <c r="I25" s="542" t="s">
        <v>3469</v>
      </c>
      <c r="J25" s="374">
        <f>SUMIF(86:86,I25,87:87)-SUMIF(86:86,C25,87:87)+100</f>
        <v>105</v>
      </c>
      <c r="K25" s="538">
        <v>5</v>
      </c>
      <c r="L25" s="2491"/>
      <c r="M25" s="2486"/>
      <c r="N25" s="2486"/>
      <c r="O25" s="2486"/>
      <c r="P25" s="3392"/>
      <c r="Q25" s="1263" t="str">
        <f t="shared" ref="Q25:Q46" si="11">B25</f>
        <v>临街状况</v>
      </c>
      <c r="R25" s="667" t="s">
        <v>14</v>
      </c>
      <c r="S25" s="668">
        <f>F25</f>
        <v>105</v>
      </c>
      <c r="T25" s="667" t="s">
        <v>14</v>
      </c>
      <c r="U25" s="668">
        <f>H25</f>
        <v>105</v>
      </c>
      <c r="V25" s="667" t="s">
        <v>14</v>
      </c>
      <c r="W25" s="668">
        <f>J25</f>
        <v>105</v>
      </c>
      <c r="X25" s="1265"/>
      <c r="Y25" s="3385"/>
      <c r="Z25" s="1264" t="str">
        <f>Q25</f>
        <v>临街状况</v>
      </c>
      <c r="AA25" s="1264">
        <f t="shared" si="3"/>
        <v>0.95238095238095233</v>
      </c>
      <c r="AB25" s="1264">
        <f t="shared" si="4"/>
        <v>0.95238095238095233</v>
      </c>
      <c r="AC25" s="1264">
        <f t="shared" si="5"/>
        <v>0.95238095238095233</v>
      </c>
    </row>
    <row r="26" spans="1:29" ht="15.5">
      <c r="A26" s="367"/>
      <c r="B26" s="1066" t="s">
        <v>1781</v>
      </c>
      <c r="C26" s="3511" t="s">
        <v>3467</v>
      </c>
      <c r="D26" s="374">
        <v>100</v>
      </c>
      <c r="E26" s="3511" t="s">
        <v>3458</v>
      </c>
      <c r="F26" s="400">
        <f>SUMIF(88:88,E26,89:89)-SUMIF(88:88,C26,89:89)+100</f>
        <v>104</v>
      </c>
      <c r="G26" s="3511" t="s">
        <v>3458</v>
      </c>
      <c r="H26" s="374">
        <f>SUMIF(88:88,G26,89:89)-SUMIF(88:88,C26,89:89)+100</f>
        <v>104</v>
      </c>
      <c r="I26" s="3511" t="s">
        <v>3458</v>
      </c>
      <c r="J26" s="374">
        <f>SUMIF(88:88,I26,89:89)-SUMIF(88:88,C26,89:89)+100</f>
        <v>104</v>
      </c>
      <c r="K26" s="539"/>
      <c r="L26" s="2491"/>
      <c r="M26" s="2486"/>
      <c r="N26" s="2486"/>
      <c r="O26" s="2486"/>
      <c r="P26" s="3392"/>
      <c r="Q26" s="1263" t="str">
        <f t="shared" si="11"/>
        <v>平面位置/可视性</v>
      </c>
      <c r="R26" s="667" t="s">
        <v>14</v>
      </c>
      <c r="S26" s="668">
        <f>F26</f>
        <v>104</v>
      </c>
      <c r="T26" s="667" t="s">
        <v>14</v>
      </c>
      <c r="U26" s="668">
        <f>H26</f>
        <v>104</v>
      </c>
      <c r="V26" s="667" t="s">
        <v>14</v>
      </c>
      <c r="W26" s="668">
        <f>J26</f>
        <v>104</v>
      </c>
      <c r="X26" s="1265"/>
      <c r="Y26" s="3385"/>
      <c r="Z26" s="1264" t="str">
        <f>Q26</f>
        <v>平面位置/可视性</v>
      </c>
      <c r="AA26" s="1264">
        <f t="shared" si="3"/>
        <v>0.96153846153846156</v>
      </c>
      <c r="AB26" s="1264">
        <f t="shared" si="4"/>
        <v>0.96153846153846156</v>
      </c>
      <c r="AC26" s="1264">
        <f t="shared" si="5"/>
        <v>0.96153846153846156</v>
      </c>
    </row>
    <row r="27" spans="1:29" s="102" customFormat="1" ht="15.5">
      <c r="A27" s="370"/>
      <c r="B27" s="390" t="s">
        <v>1782</v>
      </c>
      <c r="C27" s="1807" t="s">
        <v>3463</v>
      </c>
      <c r="D27" s="401">
        <v>100</v>
      </c>
      <c r="E27" s="1807" t="s">
        <v>3463</v>
      </c>
      <c r="F27" s="395">
        <f>SUMIF(90:90,E27,91:91)-SUMIF(90:90,C27,91:91)+100</f>
        <v>100</v>
      </c>
      <c r="G27" s="1807" t="s">
        <v>3463</v>
      </c>
      <c r="H27" s="401">
        <f>SUMIF(90:90,G27,91:91)-SUMIF(90:90,C27,91:91)+100</f>
        <v>100</v>
      </c>
      <c r="I27" s="1807" t="s">
        <v>3463</v>
      </c>
      <c r="J27" s="401">
        <f>SUMIF(90:90,I27,91:91)-SUMIF(90:90,C27,91:91)+100</f>
        <v>100</v>
      </c>
      <c r="K27" s="538">
        <v>5</v>
      </c>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t="s">
        <v>3473</v>
      </c>
      <c r="D28" s="374">
        <v>100</v>
      </c>
      <c r="E28" s="542" t="s">
        <v>3473</v>
      </c>
      <c r="F28" s="400">
        <f>SUMIF(92:92,E28,93:93)-SUMIF(92:92,C28,93:93)+100</f>
        <v>100</v>
      </c>
      <c r="G28" s="542" t="s">
        <v>3473</v>
      </c>
      <c r="H28" s="374">
        <f>SUMIF(92:92,G28,93:93)-SUMIF(92:92,C28,93:93)+100</f>
        <v>100</v>
      </c>
      <c r="I28" s="542" t="s">
        <v>3478</v>
      </c>
      <c r="J28" s="374">
        <f>SUMIF(92:92,I28,93:93)-SUMIF(92:92,C28,93:93)+100</f>
        <v>85</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85</v>
      </c>
      <c r="X28" s="1265"/>
      <c r="Y28" s="3385"/>
      <c r="Z28" s="1264" t="str">
        <f t="shared" ref="Z28:Z46" si="15">Q28</f>
        <v>楼层</v>
      </c>
      <c r="AA28" s="1264">
        <f t="shared" si="3"/>
        <v>1</v>
      </c>
      <c r="AB28" s="1264">
        <f t="shared" si="4"/>
        <v>1</v>
      </c>
      <c r="AC28" s="1264">
        <f t="shared" si="5"/>
        <v>1.1764705882352942</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58.35</v>
      </c>
      <c r="D33" s="119">
        <v>100</v>
      </c>
      <c r="E33" s="369">
        <v>55.05</v>
      </c>
      <c r="F33" s="364">
        <f>LOOKUP(E33,103:103,104:104)-LOOKUP(C33,103:103,104:104)+100</f>
        <v>100</v>
      </c>
      <c r="G33" s="368">
        <v>85.15</v>
      </c>
      <c r="H33" s="119">
        <f>LOOKUP(G33,103:103,104:104)-LOOKUP(C33,103:103,104:104)+100</f>
        <v>99</v>
      </c>
      <c r="I33" s="368">
        <v>245.22</v>
      </c>
      <c r="J33" s="119">
        <f>LOOKUP(I33,103:103,104:104)-LOOKUP(C33,103:103,104:104)+100</f>
        <v>96</v>
      </c>
      <c r="K33" s="539"/>
      <c r="L33" s="2490"/>
      <c r="M33" s="2492"/>
      <c r="N33" s="2492"/>
      <c r="O33" s="2492"/>
      <c r="P33" s="3387"/>
      <c r="Q33" s="531" t="str">
        <f t="shared" si="11"/>
        <v>项目建筑规模</v>
      </c>
      <c r="R33" s="669" t="s">
        <v>14</v>
      </c>
      <c r="S33" s="670">
        <f t="shared" si="12"/>
        <v>100</v>
      </c>
      <c r="T33" s="669" t="s">
        <v>14</v>
      </c>
      <c r="U33" s="670">
        <f t="shared" si="13"/>
        <v>99</v>
      </c>
      <c r="V33" s="669" t="s">
        <v>14</v>
      </c>
      <c r="W33" s="670">
        <f t="shared" si="14"/>
        <v>96</v>
      </c>
      <c r="X33" s="671"/>
      <c r="Y33" s="3389"/>
      <c r="Z33" s="672" t="str">
        <f t="shared" si="15"/>
        <v>项目建筑规模</v>
      </c>
      <c r="AA33" s="1264">
        <f t="shared" si="3"/>
        <v>1</v>
      </c>
      <c r="AB33" s="1264">
        <f t="shared" si="4"/>
        <v>1.0101010101010102</v>
      </c>
      <c r="AC33" s="1264">
        <f t="shared" si="5"/>
        <v>1.0416666666666667</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f>'数据-取费表'!N6</f>
        <v>0.73</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387"/>
      <c r="Q36" s="1263" t="str">
        <f t="shared" si="11"/>
        <v>成新度</v>
      </c>
      <c r="R36" s="667" t="s">
        <v>14</v>
      </c>
      <c r="S36" s="668">
        <f t="shared" si="12"/>
        <v>100</v>
      </c>
      <c r="T36" s="667" t="s">
        <v>14</v>
      </c>
      <c r="U36" s="668">
        <f t="shared" si="13"/>
        <v>100</v>
      </c>
      <c r="V36" s="667" t="s">
        <v>14</v>
      </c>
      <c r="W36" s="668">
        <f t="shared" si="14"/>
        <v>100</v>
      </c>
      <c r="X36" s="1265"/>
      <c r="Y36" s="3389"/>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3516" t="s">
        <v>3480</v>
      </c>
      <c r="C44" s="3517" t="s">
        <v>3481</v>
      </c>
      <c r="D44" s="119">
        <v>100</v>
      </c>
      <c r="E44" s="3511" t="s">
        <v>3482</v>
      </c>
      <c r="F44" s="364">
        <f>SUMIF(126:126,E44,127:127)-SUMIF(126:126,C44,127:127)+100</f>
        <v>110</v>
      </c>
      <c r="G44" s="3511" t="s">
        <v>3482</v>
      </c>
      <c r="H44" s="119">
        <f>SUMIF(126:126,G44,127:127)-SUMIF(126:126,C44,127:127)+100</f>
        <v>110</v>
      </c>
      <c r="I44" s="3511" t="s">
        <v>3482</v>
      </c>
      <c r="J44" s="119">
        <f>SUMIF(126:126,I44,127:127)-SUMIF(126:126,C44,127:127)+100</f>
        <v>110</v>
      </c>
      <c r="K44" s="539"/>
      <c r="L44" s="2487"/>
      <c r="M44" s="2439"/>
      <c r="N44" s="2439"/>
      <c r="O44" s="2439"/>
      <c r="P44" s="3387"/>
      <c r="Q44" s="530" t="str">
        <f t="shared" si="11"/>
        <v>铺面位置</v>
      </c>
      <c r="R44" s="664" t="s">
        <v>14</v>
      </c>
      <c r="S44" s="665">
        <f t="shared" si="12"/>
        <v>110</v>
      </c>
      <c r="T44" s="664" t="s">
        <v>14</v>
      </c>
      <c r="U44" s="665">
        <f t="shared" si="13"/>
        <v>110</v>
      </c>
      <c r="V44" s="664" t="s">
        <v>14</v>
      </c>
      <c r="W44" s="665">
        <f t="shared" si="14"/>
        <v>110</v>
      </c>
      <c r="X44" s="666"/>
      <c r="Y44" s="3389"/>
      <c r="Z44" s="50" t="str">
        <f t="shared" si="15"/>
        <v>铺面位置</v>
      </c>
      <c r="AA44" s="50">
        <f t="shared" si="3"/>
        <v>0.90909090909090906</v>
      </c>
      <c r="AB44" s="50">
        <f t="shared" si="4"/>
        <v>0.90909090909090906</v>
      </c>
      <c r="AC44" s="50">
        <f t="shared" si="5"/>
        <v>0.90909090909090906</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v>34878</v>
      </c>
      <c r="F47" s="420"/>
      <c r="G47" s="421">
        <v>34998</v>
      </c>
      <c r="H47" s="422"/>
      <c r="I47" s="419">
        <v>32950</v>
      </c>
      <c r="J47" s="422"/>
      <c r="K47" s="674"/>
      <c r="L47" s="2493"/>
      <c r="M47" s="2486"/>
      <c r="N47" s="2486"/>
      <c r="O47" s="2486"/>
      <c r="P47" s="3382" t="str">
        <f>A47</f>
        <v>成交单价（元/平方米）</v>
      </c>
      <c r="Q47" s="3382"/>
      <c r="R47" s="3383">
        <f>E47</f>
        <v>34878</v>
      </c>
      <c r="S47" s="3383"/>
      <c r="T47" s="3383">
        <f>G47</f>
        <v>34998</v>
      </c>
      <c r="U47" s="3383"/>
      <c r="V47" s="3383">
        <f>I47</f>
        <v>32950</v>
      </c>
      <c r="W47" s="3383"/>
      <c r="X47" s="385"/>
      <c r="Y47" s="673"/>
      <c r="Z47" s="385"/>
      <c r="AA47" s="385"/>
      <c r="AB47" s="385"/>
      <c r="AC47" s="385"/>
    </row>
    <row r="48" spans="1:29" ht="14.5" thickBot="1">
      <c r="A48" s="423" t="s">
        <v>1793</v>
      </c>
      <c r="B48" s="424"/>
      <c r="C48" s="1082">
        <f>R49</f>
        <v>29233</v>
      </c>
      <c r="D48" s="2141" t="s">
        <v>2138</v>
      </c>
      <c r="E48" s="1083">
        <f>R48</f>
        <v>27653</v>
      </c>
      <c r="F48" s="2142"/>
      <c r="G48" s="1082">
        <f>T48</f>
        <v>28029</v>
      </c>
      <c r="H48" s="2142"/>
      <c r="I48" s="1083">
        <f>V48</f>
        <v>32016</v>
      </c>
      <c r="J48" s="2142"/>
      <c r="K48" s="2144">
        <f>F48+H48+J48</f>
        <v>0</v>
      </c>
      <c r="L48" s="2493"/>
      <c r="M48" s="2486"/>
      <c r="N48" s="2486"/>
      <c r="O48" s="2486"/>
      <c r="P48" s="3382" t="str">
        <f>A48</f>
        <v>比较价值（元/平方米）</v>
      </c>
      <c r="Q48" s="3382"/>
      <c r="R48" s="3383">
        <f>IF(F1="售价",ROUND(PRODUCT(R47,AA7:AA46),0),ROUND(PRODUCT(R47,AA7:AA46),1))</f>
        <v>27653</v>
      </c>
      <c r="S48" s="3383"/>
      <c r="T48" s="3383">
        <f>IF(F1="售价",ROUND(PRODUCT(T47,AB7:AB46),0),ROUND(PRODUCT(T47,AB7:AB46),1))</f>
        <v>28029</v>
      </c>
      <c r="U48" s="3383"/>
      <c r="V48" s="3383">
        <f>IF(F1="售价",ROUND(PRODUCT(V47,AC7:AC46),0),ROUND(PRODUCT(V47,AC7:AC46),1))</f>
        <v>32016</v>
      </c>
      <c r="W48" s="3383"/>
      <c r="X48" s="385"/>
      <c r="Y48" s="385"/>
      <c r="Z48" s="385"/>
      <c r="AA48" s="385"/>
      <c r="AB48" s="385"/>
      <c r="AC48" s="385"/>
    </row>
    <row r="49" spans="1:29" ht="14.5" thickBot="1">
      <c r="A49" s="427" t="s">
        <v>1794</v>
      </c>
      <c r="B49" s="428"/>
      <c r="C49" s="351">
        <f>R49</f>
        <v>29233</v>
      </c>
      <c r="D49" s="351"/>
      <c r="E49" s="351"/>
      <c r="F49" s="351"/>
      <c r="G49" s="351"/>
      <c r="H49" s="351"/>
      <c r="I49" s="351"/>
      <c r="J49" s="351"/>
      <c r="K49" s="675"/>
      <c r="L49" s="2493"/>
      <c r="M49" s="2486"/>
      <c r="N49" s="2486"/>
      <c r="O49" s="2486"/>
      <c r="P49" s="3379" t="str">
        <f>A49</f>
        <v>估价对象XX用房的比较价值（楼面单价，元/平方米）</v>
      </c>
      <c r="Q49" s="3380"/>
      <c r="R49" s="3381">
        <f>IF(F1="售价",ROUND(IF(D48="简单平均",AVERAGE(R48:V48),R48*F48+T48*H48+V48*J48),0),ROUND(IF(D48="简单平均",AVERAGE(R48:V48),R48*F48+T48*H48+V48*J48),1))</f>
        <v>29233</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0.26127364119625351</v>
      </c>
      <c r="F52" s="435" t="str">
        <f>IF(OR(E52&gt;=0.3,E52&lt;=-0.3),"超过30%","")</f>
        <v/>
      </c>
      <c r="G52" s="434">
        <f>IF(G47&lt;G48,G48/G47-1,G47/G48-1)</f>
        <v>0.24863534196724824</v>
      </c>
      <c r="H52" s="435" t="str">
        <f>IF(OR(G52&gt;=0.3,G52&lt;=-0.3),"超过30%","")</f>
        <v/>
      </c>
      <c r="I52" s="434">
        <f>IF(I47&lt;I48,I48/I47-1,I47/I48-1)</f>
        <v>2.9172913543228374E-2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1.3597078074711666E-2</v>
      </c>
      <c r="F53" s="435" t="str">
        <f>IF(OR(E53&gt;=0.2,E53&lt;=-0.2),"超过20%","")</f>
        <v/>
      </c>
      <c r="G53" s="434">
        <f>IF(G48&lt;I48,I48/G48-1,G48/I48-1)</f>
        <v>0.14224553141389285</v>
      </c>
      <c r="H53" s="435" t="str">
        <f>IF(OR(G53&gt;=0.2,G53&lt;=-0.2),"超过20%","")</f>
        <v/>
      </c>
      <c r="I53" s="434">
        <f>IF(I48&lt;E48,E48/I48-1,I48/E48-1)</f>
        <v>0.15777673308501794</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3.4405642525374702E-3</v>
      </c>
      <c r="F54" s="435" t="str">
        <f>IF(OR(E54&gt;=0.3,E54&lt;=-0.3),"超过30%","")</f>
        <v/>
      </c>
      <c r="G54" s="434">
        <f>IF(G47&lt;I47,I47/G47-1,G47/I47-1)</f>
        <v>6.2154779969650908E-2</v>
      </c>
      <c r="H54" s="435" t="str">
        <f>IF(OR(G54&gt;=0.3,G54&lt;=-0.3),"超过30%","")</f>
        <v/>
      </c>
      <c r="I54" s="434">
        <f>IF(I47&lt;E47,E47/I47-1,I47/E47-1)</f>
        <v>5.8512898330804308E-2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510" t="s">
        <v>3455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512" t="s">
        <v>3468</v>
      </c>
      <c r="D86" s="3512" t="s">
        <v>3470</v>
      </c>
      <c r="E86" s="3512" t="s">
        <v>3472</v>
      </c>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512" t="s">
        <v>3466</v>
      </c>
      <c r="D88" s="3512" t="s">
        <v>3458</v>
      </c>
      <c r="E88" s="3512" t="s">
        <v>3462</v>
      </c>
      <c r="F88" s="3513" t="s">
        <v>3467</v>
      </c>
      <c r="G88" s="3512" t="s">
        <v>3457</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512" t="s">
        <v>3460</v>
      </c>
      <c r="D90" s="3512" t="s">
        <v>3461</v>
      </c>
      <c r="E90" s="3512" t="s">
        <v>3462</v>
      </c>
      <c r="F90" s="3512" t="s">
        <v>3464</v>
      </c>
      <c r="G90" s="3512"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3459</v>
      </c>
      <c r="D92" s="485" t="s">
        <v>3477</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v>85</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0(含)-50</v>
      </c>
      <c r="D102" s="509" t="str">
        <f t="shared" ref="D102:L102" si="24">D103&amp;"(含)"&amp;"-"&amp;E103</f>
        <v>50(含)-80</v>
      </c>
      <c r="E102" s="509" t="str">
        <f t="shared" si="24"/>
        <v>80(含)-100</v>
      </c>
      <c r="F102" s="509" t="str">
        <f t="shared" si="24"/>
        <v>100(含)-150</v>
      </c>
      <c r="G102" s="509" t="str">
        <f t="shared" si="24"/>
        <v>150(含)-200</v>
      </c>
      <c r="H102" s="509" t="str">
        <f t="shared" si="24"/>
        <v>200(含)-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80</v>
      </c>
      <c r="F103" s="6">
        <v>100</v>
      </c>
      <c r="G103" s="6">
        <v>150</v>
      </c>
      <c r="H103" s="6">
        <v>200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t="str">
        <f>B44</f>
        <v>铺面位置</v>
      </c>
      <c r="C126" s="3512" t="s">
        <v>3482</v>
      </c>
      <c r="D126" s="3512" t="s">
        <v>3481</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100</v>
      </c>
      <c r="D127" s="467">
        <v>90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112</v>
      </c>
      <c r="D1" s="1271" t="s">
        <v>43</v>
      </c>
      <c r="E1" s="1272" t="s">
        <v>678</v>
      </c>
      <c r="F1" s="999">
        <f ca="1">J53</f>
        <v>22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111.72880000000001</v>
      </c>
      <c r="C2" s="1289" t="s">
        <v>879</v>
      </c>
      <c r="D2" s="1375">
        <f ca="1">C40+J29+L46</f>
        <v>1117288</v>
      </c>
      <c r="E2" s="1295" t="s">
        <v>880</v>
      </c>
      <c r="F2" s="1296"/>
      <c r="G2" s="2477"/>
      <c r="H2" s="2467"/>
      <c r="I2" s="2467"/>
      <c r="J2" s="2467"/>
      <c r="K2" s="2468"/>
      <c r="L2" s="2467"/>
      <c r="M2" s="2467"/>
    </row>
    <row r="3" spans="1:37" ht="18" customHeight="1" thickBot="1">
      <c r="A3" s="1297" t="s">
        <v>881</v>
      </c>
      <c r="B3" s="1298">
        <f ca="1">IF(ISERROR(D2/F43),0,ROUND(D2/F43,0))</f>
        <v>19148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86364</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86256</v>
      </c>
      <c r="D6" s="147" t="s">
        <v>2106</v>
      </c>
      <c r="E6" s="294" t="s">
        <v>696</v>
      </c>
      <c r="F6" s="295">
        <f ca="1">INDIRECT("'数据-取费表'!u"&amp;$G$1)</f>
        <v>4.5</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58.35</v>
      </c>
      <c r="G7" s="1292"/>
      <c r="H7" s="296"/>
      <c r="I7" s="3356"/>
      <c r="J7" s="298"/>
      <c r="K7" s="299"/>
      <c r="L7" s="294" t="s">
        <v>697</v>
      </c>
      <c r="M7" s="295">
        <f ca="1">F7</f>
        <v>58.35</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108</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248845</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233400</v>
      </c>
      <c r="D14" s="1257" t="s">
        <v>708</v>
      </c>
      <c r="E14" s="1255"/>
      <c r="F14" s="311"/>
      <c r="G14" s="1292"/>
      <c r="H14" s="928" t="s">
        <v>398</v>
      </c>
      <c r="I14" s="294" t="s">
        <v>709</v>
      </c>
      <c r="J14" s="21">
        <f ca="1">C29</f>
        <v>340884</v>
      </c>
      <c r="K14" s="12"/>
      <c r="L14" s="759"/>
      <c r="M14" s="760"/>
    </row>
    <row r="15" spans="1:37" s="1304" customFormat="1" ht="18" customHeight="1" thickBot="1">
      <c r="A15" s="928" t="s">
        <v>399</v>
      </c>
      <c r="B15" s="294" t="s">
        <v>710</v>
      </c>
      <c r="C15" s="21">
        <f ca="1">ROUND(C14*F15,0)</f>
        <v>11670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3409</v>
      </c>
      <c r="K16" s="1024" t="s">
        <v>715</v>
      </c>
      <c r="L16" s="1025"/>
      <c r="M16" s="1009"/>
    </row>
    <row r="17" spans="1:37" s="1304" customFormat="1" ht="18" customHeight="1">
      <c r="A17" s="928" t="s">
        <v>681</v>
      </c>
      <c r="B17" s="294" t="s">
        <v>716</v>
      </c>
      <c r="C17" s="21">
        <f ca="1">ROUND(F17*(F43+INDIRECT("'数据-取费表'!S"&amp;$G$1)),0)</f>
        <v>11670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261408</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5228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3409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8346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-3409</v>
      </c>
      <c r="K25" s="1032" t="s">
        <v>753</v>
      </c>
      <c r="L25" s="1033"/>
      <c r="M25" s="1034"/>
    </row>
    <row r="26" spans="1:37" ht="18" customHeight="1">
      <c r="A26" s="928" t="s">
        <v>397</v>
      </c>
      <c r="B26" s="294" t="s">
        <v>754</v>
      </c>
      <c r="C26" s="21">
        <f ca="1">ROUND((C19+C20)*F26,0)</f>
        <v>39995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340884</v>
      </c>
      <c r="D29" s="1029"/>
      <c r="E29" s="1027"/>
      <c r="F29" s="1030"/>
      <c r="G29" s="1303"/>
      <c r="H29" s="325" t="s">
        <v>396</v>
      </c>
      <c r="I29" s="326" t="s">
        <v>768</v>
      </c>
      <c r="J29" s="327">
        <f ca="1">ROUND(J26/(1+F40)^F41,0)</f>
        <v>0</v>
      </c>
      <c r="K29" s="328" t="s">
        <v>769</v>
      </c>
      <c r="L29" s="329"/>
      <c r="M29" s="330">
        <f ca="1">INDIRECT("'数据-取费表'!k"&amp;$G$1)</f>
        <v>58.35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10272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5750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3409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249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864</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76092</v>
      </c>
      <c r="D39" s="1032" t="s">
        <v>773</v>
      </c>
      <c r="E39" s="1033"/>
      <c r="F39" s="1034"/>
      <c r="G39" s="1292"/>
      <c r="H39" s="2472"/>
      <c r="I39" s="1305"/>
      <c r="J39" s="1306"/>
      <c r="K39" s="2470"/>
      <c r="L39" s="2472"/>
      <c r="M39" s="2472"/>
    </row>
    <row r="40" spans="1:18" ht="18" customHeight="1">
      <c r="A40" s="291" t="s">
        <v>395</v>
      </c>
      <c r="B40" s="292" t="s">
        <v>774</v>
      </c>
      <c r="C40" s="293">
        <f ca="1">ROUND(C39*(1-((1+F42)/(1+F40))^F41)/(F40-F42),0)</f>
        <v>1089511</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22</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18672</v>
      </c>
      <c r="D43" s="328" t="s">
        <v>777</v>
      </c>
      <c r="E43" s="329" t="s">
        <v>778</v>
      </c>
      <c r="F43" s="330">
        <f ca="1">INDIRECT("'数据-取费表'!k"&amp;$G$1)</f>
        <v>58.35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-113.554</v>
      </c>
      <c r="D45" s="3129" t="s">
        <v>3350</v>
      </c>
      <c r="E45" s="1307"/>
      <c r="F45" s="1307"/>
      <c r="O45" s="1310" t="s">
        <v>808</v>
      </c>
      <c r="P45" s="1366"/>
      <c r="Q45" s="1366"/>
      <c r="R45" s="1366"/>
    </row>
    <row r="46" spans="1:18" s="1292" customFormat="1" ht="14" thickBot="1">
      <c r="A46" s="1311" t="s">
        <v>809</v>
      </c>
      <c r="C46" s="1312">
        <f ca="1">ROUND(C45,0)</f>
        <v>-114</v>
      </c>
      <c r="D46" s="1313" t="str">
        <f>C2</f>
        <v>万元</v>
      </c>
      <c r="I46" s="1314" t="s">
        <v>810</v>
      </c>
      <c r="J46" s="1315"/>
      <c r="K46" s="1316"/>
      <c r="L46" s="1317">
        <f ca="1">IF(M47="住宅",0,IF(L48&gt;J51,L60,J60))</f>
        <v>27777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3446</v>
      </c>
      <c r="K47" s="1323" t="s">
        <v>816</v>
      </c>
      <c r="L47" s="1324">
        <f ca="1">INDIRECT("'数据-取费表'!d"&amp;$G$1)</f>
        <v>0</v>
      </c>
      <c r="M47" s="1288" t="str">
        <f>IF(ISNUMBER(FIND("住宅",C1)),"住宅","非住宅")</f>
        <v>非住宅</v>
      </c>
      <c r="O47" s="1325" t="s">
        <v>403</v>
      </c>
      <c r="P47" s="1326" t="s">
        <v>817</v>
      </c>
      <c r="Q47" s="1327">
        <f ca="1">C40+J29</f>
        <v>1089511</v>
      </c>
      <c r="R47" s="1327" t="s">
        <v>818</v>
      </c>
    </row>
    <row r="48" spans="1:18" s="1292" customFormat="1" ht="43.5" thickBot="1">
      <c r="A48" s="1047" t="s">
        <v>438</v>
      </c>
      <c r="B48" s="292" t="s">
        <v>692</v>
      </c>
      <c r="C48" s="1268">
        <f ca="1">C49+C53+C55</f>
        <v>0</v>
      </c>
      <c r="D48" s="1049"/>
      <c r="E48" s="1050"/>
      <c r="F48" s="908"/>
      <c r="G48" s="681"/>
      <c r="H48" s="682"/>
      <c r="I48" s="1328" t="s">
        <v>819</v>
      </c>
      <c r="J48" s="1329" t="s">
        <v>3447</v>
      </c>
      <c r="K48" s="1330" t="s">
        <v>820</v>
      </c>
      <c r="L48" s="1331">
        <f ca="1">INDIRECT("'数据-取费表'!f"&amp;$G$1)</f>
        <v>22</v>
      </c>
      <c r="O48" s="1325" t="s">
        <v>404</v>
      </c>
      <c r="P48" s="1326" t="s">
        <v>821</v>
      </c>
      <c r="Q48" s="1327">
        <f ca="1">J60</f>
        <v>27777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340884</v>
      </c>
      <c r="R49" s="1327" t="s">
        <v>818</v>
      </c>
    </row>
    <row r="50" spans="1:18" s="1292" customFormat="1" ht="13.5" thickBot="1">
      <c r="A50" s="922"/>
      <c r="B50" s="925"/>
      <c r="C50" s="926"/>
      <c r="D50" s="899"/>
      <c r="E50" s="993" t="s">
        <v>697</v>
      </c>
      <c r="F50" s="994">
        <f ca="1">F7</f>
        <v>58.35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1036325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22</v>
      </c>
      <c r="K53" s="3353" t="s">
        <v>837</v>
      </c>
      <c r="L53" s="3354"/>
      <c r="O53" s="1325" t="s">
        <v>409</v>
      </c>
      <c r="P53" s="1326" t="s">
        <v>838</v>
      </c>
      <c r="Q53" s="1327">
        <f ca="1">Q47+Q48</f>
        <v>1117288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248845</v>
      </c>
      <c r="D56" s="1352"/>
      <c r="E56" s="1353"/>
      <c r="F56" s="1345"/>
      <c r="I56" s="1354" t="s">
        <v>842</v>
      </c>
      <c r="J56" s="1355" t="s">
        <v>3422</v>
      </c>
      <c r="K56" s="1328" t="s">
        <v>843</v>
      </c>
      <c r="L56" s="1331" t="str">
        <f ca="1">IF(L48&lt;J51,"——",L48-J51)</f>
        <v>——</v>
      </c>
      <c r="O56" s="1325" t="s">
        <v>403</v>
      </c>
      <c r="P56" s="1326" t="s">
        <v>817</v>
      </c>
      <c r="Q56" s="1327">
        <f ca="1">C40+J29</f>
        <v>1089511</v>
      </c>
      <c r="R56" s="1327" t="s">
        <v>818</v>
      </c>
    </row>
    <row r="57" spans="1:18" s="1292" customFormat="1" ht="26.5" thickBot="1">
      <c r="A57" s="1356"/>
      <c r="B57" s="896" t="s">
        <v>767</v>
      </c>
      <c r="C57" s="230">
        <f ca="1">C29</f>
        <v>340884</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3658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136354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27777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1089511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3409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249</v>
      </c>
      <c r="D65" s="910" t="s">
        <v>743</v>
      </c>
      <c r="E65" s="896" t="s">
        <v>744</v>
      </c>
      <c r="F65" s="321">
        <f t="shared" ca="1" si="0"/>
        <v>1E-3</v>
      </c>
      <c r="I65" s="1367" t="s">
        <v>867</v>
      </c>
      <c r="J65" s="610">
        <v>40</v>
      </c>
      <c r="K65" s="610">
        <v>30</v>
      </c>
      <c r="L65" s="610">
        <v>50</v>
      </c>
      <c r="M65" s="1369">
        <v>0.02</v>
      </c>
      <c r="O65" s="1325" t="s">
        <v>403</v>
      </c>
      <c r="P65" s="1326" t="s">
        <v>868</v>
      </c>
      <c r="Q65" s="1327">
        <f ca="1">C40+J29</f>
        <v>1089511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-3658</v>
      </c>
      <c r="D67" s="909" t="s">
        <v>753</v>
      </c>
      <c r="E67" s="914"/>
      <c r="F67" s="915"/>
      <c r="O67" s="1334" t="s">
        <v>405</v>
      </c>
      <c r="P67" s="1326" t="s">
        <v>850</v>
      </c>
      <c r="Q67" s="1370">
        <f ca="1">L51</f>
        <v>1036325</v>
      </c>
      <c r="R67" s="1327" t="s">
        <v>870</v>
      </c>
    </row>
    <row r="68" spans="1:18" s="1292" customFormat="1" ht="16" thickBot="1">
      <c r="A68" s="893" t="s">
        <v>395</v>
      </c>
      <c r="B68" s="894" t="s">
        <v>774</v>
      </c>
      <c r="C68" s="293">
        <f ca="1">ROUND(C67*(1-((1+F70)/(1+F68))^F69)/(F68-F70),0)</f>
        <v>-46029</v>
      </c>
      <c r="D68" s="911" t="s">
        <v>758</v>
      </c>
      <c r="E68" s="896" t="s">
        <v>759</v>
      </c>
      <c r="F68" s="304">
        <f ca="1">F40</f>
        <v>5.5E-2</v>
      </c>
      <c r="O68" s="1334" t="s">
        <v>406</v>
      </c>
      <c r="P68" s="1371" t="s">
        <v>871</v>
      </c>
      <c r="Q68" s="1327">
        <f ca="1">ROUND(Q69-Q70*Q71,0)</f>
        <v>58673</v>
      </c>
      <c r="R68" s="1327" t="s">
        <v>414</v>
      </c>
    </row>
    <row r="69" spans="1:18" s="1292" customFormat="1" ht="13.5" thickBot="1">
      <c r="A69" s="897"/>
      <c r="B69" s="898"/>
      <c r="C69" s="298"/>
      <c r="D69" s="916" t="s">
        <v>762</v>
      </c>
      <c r="E69" s="896" t="s">
        <v>763</v>
      </c>
      <c r="F69" s="324">
        <f ca="1">F41</f>
        <v>22</v>
      </c>
      <c r="O69" s="1334" t="s">
        <v>411</v>
      </c>
      <c r="P69" s="1371" t="s">
        <v>872</v>
      </c>
      <c r="Q69" s="1327">
        <f ca="1">C39</f>
        <v>76092</v>
      </c>
      <c r="R69" s="1327" t="s">
        <v>818</v>
      </c>
    </row>
    <row r="70" spans="1:18" s="1292" customFormat="1" ht="13.5" thickBot="1">
      <c r="A70" s="900"/>
      <c r="B70" s="901"/>
      <c r="C70" s="302"/>
      <c r="D70" s="912"/>
      <c r="E70" s="896" t="s">
        <v>766</v>
      </c>
      <c r="F70" s="991"/>
      <c r="O70" s="1334" t="s">
        <v>412</v>
      </c>
      <c r="P70" s="1371" t="s">
        <v>873</v>
      </c>
      <c r="Q70" s="1327">
        <f ca="1">C13</f>
        <v>248845</v>
      </c>
      <c r="R70" s="1327" t="s">
        <v>818</v>
      </c>
    </row>
    <row r="71" spans="1:18" s="1292" customFormat="1" ht="13.5" thickBot="1">
      <c r="A71" s="917" t="s">
        <v>396</v>
      </c>
      <c r="B71" s="918" t="s">
        <v>776</v>
      </c>
      <c r="C71" s="327">
        <f ca="1">ROUND(C68/F71,0)</f>
        <v>-789</v>
      </c>
      <c r="D71" s="919" t="s">
        <v>777</v>
      </c>
      <c r="E71" s="920" t="s">
        <v>778</v>
      </c>
      <c r="F71" s="330">
        <f ca="1">F43</f>
        <v>58.35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17419</v>
      </c>
      <c r="D75" s="1292"/>
      <c r="E75" s="1292"/>
      <c r="F75" s="1292"/>
      <c r="K75" s="1309"/>
      <c r="L75" s="1292"/>
      <c r="O75" s="1325" t="s">
        <v>409</v>
      </c>
      <c r="P75" s="1326" t="s">
        <v>838</v>
      </c>
      <c r="Q75" s="1327">
        <f ca="1">Q65+Q66</f>
        <v>1089511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0.77100000000000002</v>
      </c>
    </row>
    <row r="80" spans="1:18" ht="13">
      <c r="B80" s="331" t="s">
        <v>800</v>
      </c>
      <c r="C80" s="266">
        <f ca="1">ROUND(C75/C39,3)</f>
        <v>0.22900000000000001</v>
      </c>
    </row>
    <row r="81" spans="2:3" ht="13.5">
      <c r="B81" s="262" t="s">
        <v>801</v>
      </c>
      <c r="C81" s="230"/>
    </row>
    <row r="82" spans="2:3" ht="13">
      <c r="B82" s="265" t="s">
        <v>802</v>
      </c>
      <c r="C82" s="267">
        <f ca="1">1-C83</f>
        <v>0.77200000000000002</v>
      </c>
    </row>
    <row r="83" spans="2:3" ht="13">
      <c r="B83" s="265" t="s">
        <v>803</v>
      </c>
      <c r="C83" s="266">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3356</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111.72880000000001</v>
      </c>
      <c r="C2" s="1729" t="s">
        <v>1651</v>
      </c>
      <c r="D2" s="1730" t="s">
        <v>1652</v>
      </c>
      <c r="E2" s="2392">
        <f>SUM(E6:E13)</f>
        <v>58.35</v>
      </c>
      <c r="F2" s="2478"/>
      <c r="G2" s="459"/>
      <c r="H2" s="459"/>
      <c r="I2" s="459"/>
      <c r="J2" s="459"/>
      <c r="K2" s="459"/>
      <c r="L2" s="459"/>
      <c r="M2" s="459"/>
      <c r="N2" s="459"/>
      <c r="O2" s="459"/>
      <c r="P2" s="459"/>
      <c r="Q2" s="459"/>
      <c r="R2" s="459"/>
      <c r="S2" s="459"/>
    </row>
    <row r="3" spans="1:22" ht="15.5">
      <c r="A3" s="1728" t="s">
        <v>686</v>
      </c>
      <c r="B3" s="2386">
        <f ca="1">ROUND(B2*10000/E2,0)</f>
        <v>19148</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111.72880000000001</v>
      </c>
      <c r="C6" s="1729" t="s">
        <v>1651</v>
      </c>
      <c r="D6" s="2478"/>
      <c r="E6" s="2391">
        <f>IF(OR(A6=0,F6="否"),0,'数据-取费表'!K6+'数据-取费表'!S6)</f>
        <v>58.35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58.35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BC23-F5C2-461F-8A33-0011369A7F0C}">
  <sheetPr>
    <tabColor rgb="FF7030A0"/>
  </sheetPr>
  <dimension ref="D31:P204"/>
  <sheetViews>
    <sheetView topLeftCell="A178" workbookViewId="0">
      <selection activeCell="P204" sqref="P204"/>
    </sheetView>
  </sheetViews>
  <sheetFormatPr defaultRowHeight="14"/>
  <cols>
    <col min="4" max="4" width="15.81640625" customWidth="1"/>
  </cols>
  <sheetData>
    <row r="31" spans="4:13">
      <c r="D31" s="1405" t="s">
        <v>3451</v>
      </c>
    </row>
    <row r="32" spans="4:13">
      <c r="D32" s="1405" t="s">
        <v>3443</v>
      </c>
      <c r="M32" s="3509" t="s">
        <v>3450</v>
      </c>
    </row>
    <row r="33" spans="4:5">
      <c r="D33" s="1405" t="s">
        <v>3444</v>
      </c>
      <c r="E33">
        <f>7000/52/30</f>
        <v>4.4871794871794872</v>
      </c>
    </row>
    <row r="34" spans="4:5" ht="16.5" customHeight="1"/>
    <row r="69" spans="15:15">
      <c r="O69" s="1405" t="s">
        <v>3452</v>
      </c>
    </row>
    <row r="114" spans="16:16">
      <c r="P114" s="1405" t="s">
        <v>3453</v>
      </c>
    </row>
    <row r="162" spans="15:15">
      <c r="O162" s="1405" t="s">
        <v>3453</v>
      </c>
    </row>
    <row r="201" spans="15:15">
      <c r="O201" s="1405" t="s">
        <v>3476</v>
      </c>
    </row>
    <row r="202" spans="15:15">
      <c r="O202" s="1405" t="s">
        <v>3484</v>
      </c>
    </row>
    <row r="204" spans="15:15">
      <c r="O204">
        <f>420000/365/245.22</f>
        <v>4.692459552674535</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受贵公司委托，我公司对北京市朝阳区朝阳路71号1层112房地产抵押价值进行了预评估。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估价对象为北京市朝阳区朝阳路71号1层112房地产，为吕海鹏所有。根据《国有土地使用证》[]，估价对象（分摊）出让国有建设用地使用权面积为0平方米，建筑面积为58.35平方米。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71号1层112房地产,属吕海鹏开发建设的商业项目，该项目尚在开发建设中。根据《国有土地使用证》[]，估价对象（分摊）出让国有建设用地使用权面积为0平方米，规划建筑面积为58.35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2025年9月5日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58.35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45905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58.35</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58.35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45905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58.35</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0</v>
      </c>
      <c r="C2" s="1984" t="s">
        <v>2074</v>
      </c>
      <c r="D2" s="1984" t="s">
        <v>2075</v>
      </c>
      <c r="E2" s="2397">
        <f ca="1">SUMIF(E6:E13,"&lt;&gt;#ref!",E6:E13)</f>
        <v>58.35</v>
      </c>
      <c r="F2" s="2543"/>
      <c r="G2" s="2543"/>
      <c r="H2" s="2543"/>
      <c r="I2" s="2543"/>
      <c r="J2" s="2543"/>
      <c r="K2" s="2543"/>
      <c r="L2" s="2543"/>
      <c r="M2" s="2543"/>
      <c r="N2" s="2543"/>
      <c r="O2" s="2543"/>
      <c r="P2" s="2543"/>
    </row>
    <row r="3" spans="1:16" ht="15.5">
      <c r="A3" s="1984" t="s">
        <v>2076</v>
      </c>
      <c r="B3" s="2387">
        <f ca="1">ROUND(B2*10000/E2,0)</f>
        <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0</v>
      </c>
      <c r="C6" s="1984" t="s">
        <v>2074</v>
      </c>
      <c r="D6" s="2543"/>
      <c r="E6" s="2397">
        <f ca="1">SUMIF(INDIRECT("'"&amp;A6&amp;"'"&amp;"!C:C"),"建筑面积",INDIRECT("'"&amp;A6&amp;"'"&amp;"!D:D"))</f>
        <v>58.35</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3409</v>
      </c>
      <c r="D26" s="2856"/>
      <c r="E26" s="2847">
        <v>0.43</v>
      </c>
      <c r="F26" s="2844"/>
      <c r="G26" s="2844"/>
    </row>
    <row r="27" spans="1:13" ht="19.5" customHeight="1" thickBot="1">
      <c r="A27" s="3486"/>
      <c r="B27" s="3478"/>
      <c r="C27" s="3163" t="s">
        <v>3410</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129</v>
      </c>
    </row>
    <row r="6" spans="1:5" ht="15.5">
      <c r="B6" s="3170"/>
      <c r="C6" s="1392" t="s">
        <v>911</v>
      </c>
      <c r="D6" s="797" t="str">
        <f ca="1">NUMBERSTRING(INT(D5*10000),2)&amp;"元整"</f>
        <v>壹佰贰拾玖万元整</v>
      </c>
    </row>
    <row r="7" spans="1:5" ht="15.5">
      <c r="B7" s="3175"/>
      <c r="C7" s="1393" t="s">
        <v>912</v>
      </c>
      <c r="D7" s="798">
        <f ca="1">结果表!H102</f>
        <v>22174</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129</v>
      </c>
    </row>
    <row r="14" spans="1:5" ht="15.5">
      <c r="B14" s="3170"/>
      <c r="C14" s="1392" t="s">
        <v>911</v>
      </c>
      <c r="D14" s="797" t="str">
        <f ca="1">NUMBERSTRING(INT(D13*10000),2)&amp;"元整"</f>
        <v>壹佰贰拾玖万元整</v>
      </c>
    </row>
    <row r="15" spans="1:5" ht="15.5">
      <c r="B15" s="3175"/>
      <c r="C15" s="1393" t="s">
        <v>921</v>
      </c>
      <c r="D15" s="806">
        <f ca="1">结果表!H108</f>
        <v>22174</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27621</v>
      </c>
      <c r="C2" s="2" t="s">
        <v>106</v>
      </c>
      <c r="D2" s="191"/>
      <c r="E2" s="191"/>
      <c r="F2" s="191"/>
      <c r="G2" s="191"/>
    </row>
    <row r="3" spans="1:7" s="192" customFormat="1" ht="18" customHeight="1" thickBot="1">
      <c r="A3" s="195" t="s">
        <v>58</v>
      </c>
      <c r="B3" s="196">
        <f ca="1">ROUND(B2*10000/'数据-汇总表'!E3,0)</f>
        <v>4733676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58.35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58.35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58.35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25</v>
      </c>
      <c r="D51" s="224"/>
      <c r="E51" s="224"/>
      <c r="F51" s="256"/>
      <c r="G51" s="226" t="s">
        <v>37</v>
      </c>
    </row>
    <row r="52" spans="1:7" s="200" customFormat="1" ht="16.5" thickBot="1">
      <c r="A52" s="257" t="s">
        <v>38</v>
      </c>
      <c r="B52" s="258"/>
      <c r="C52" s="259">
        <f ca="1">C31+C51</f>
        <v>27621</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45905</v>
      </c>
      <c r="B1" s="2928" t="s">
        <v>3375</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3402</v>
      </c>
      <c r="AG2" t="s">
        <v>673</v>
      </c>
      <c r="AH2" t="s">
        <v>21</v>
      </c>
      <c r="AI2" t="s">
        <v>3403</v>
      </c>
      <c r="AJ2" t="s">
        <v>3</v>
      </c>
      <c r="AK2" t="s">
        <v>3404</v>
      </c>
      <c r="AM2" t="s">
        <v>3402</v>
      </c>
      <c r="AN2" t="s">
        <v>673</v>
      </c>
      <c r="AO2" t="s">
        <v>21</v>
      </c>
      <c r="AP2" t="s">
        <v>3403</v>
      </c>
      <c r="AQ2" t="s">
        <v>3</v>
      </c>
      <c r="AR2" t="s">
        <v>3404</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3400</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3399</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3378</v>
      </c>
    </row>
    <row r="27" spans="1:44">
      <c r="I27" s="1405" t="s">
        <v>2825</v>
      </c>
    </row>
    <row r="29" spans="1:44" s="2009" customFormat="1" ht="13">
      <c r="B29" s="2928" t="s">
        <v>3376</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3403</v>
      </c>
      <c r="AJ30"/>
      <c r="AK30" t="s">
        <v>3404</v>
      </c>
      <c r="AN30" t="s">
        <v>673</v>
      </c>
      <c r="AO30" t="s">
        <v>21</v>
      </c>
      <c r="AP30" t="s">
        <v>3403</v>
      </c>
      <c r="AQ30"/>
      <c r="AR30" t="s">
        <v>3404</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3400</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3408</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北京市朝阳区朝阳路71号1层112房地产</v>
      </c>
      <c r="B4" s="801">
        <f>项目基本情况!C17</f>
        <v>58.35</v>
      </c>
      <c r="C4" s="801">
        <f>项目基本情况!C18</f>
        <v>0</v>
      </c>
      <c r="D4" s="801">
        <f>结果表!D118</f>
        <v>0</v>
      </c>
      <c r="E4" s="801">
        <f>结果表!E118</f>
        <v>0</v>
      </c>
      <c r="F4" s="801">
        <f>结果表!F118</f>
        <v>0</v>
      </c>
      <c r="G4" s="801">
        <f>结果表!G118</f>
        <v>0</v>
      </c>
      <c r="H4" s="801">
        <f ca="1">结果表!H118</f>
        <v>129</v>
      </c>
      <c r="I4" s="801">
        <f ca="1">结果表!I118</f>
        <v>22174</v>
      </c>
    </row>
    <row r="5" spans="1:9" ht="30" customHeight="1">
      <c r="A5" s="3182" t="s">
        <v>927</v>
      </c>
      <c r="B5" s="3182"/>
      <c r="C5" s="3182"/>
      <c r="D5" s="3182" t="str">
        <f>结果表!D119</f>
        <v>零元整</v>
      </c>
      <c r="E5" s="3182"/>
      <c r="F5" s="3182" t="str">
        <f>结果表!F119</f>
        <v>零元整</v>
      </c>
      <c r="G5" s="3182"/>
      <c r="H5" s="3182" t="str">
        <f ca="1">结果表!H119</f>
        <v>壹佰贰拾玖万元整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129</v>
      </c>
      <c r="E8" s="3181"/>
      <c r="F8" s="3181"/>
      <c r="G8" s="3181"/>
      <c r="H8" s="3181"/>
      <c r="I8" s="3181"/>
    </row>
    <row r="9" spans="1:9" ht="15.5">
      <c r="A9" s="3182" t="s">
        <v>927</v>
      </c>
      <c r="B9" s="3182"/>
      <c r="C9" s="3182"/>
      <c r="D9" s="3182" t="str">
        <f ca="1">结果表!D123</f>
        <v>壹佰贰拾玖万元整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2025-09-05T06:44:00Z</dcterms:modified>
</cp:coreProperties>
</file>