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90" yWindow="30" windowWidth="11385" windowHeight="94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1层+地下1层）" sheetId="43" r:id="rId34"/>
    <sheet name="修正" sheetId="45" state="hidden" r:id="rId35"/>
    <sheet name="容积率修正" sheetId="46" state="hidden" r:id="rId36"/>
    <sheet name="基准地价修正 (2层)" sheetId="78" r:id="rId37"/>
    <sheet name="基准地价修正 (3层) " sheetId="79" r:id="rId38"/>
    <sheet name="基准地价（汇总）" sheetId="76"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 (2层)'!$Q$19:$AD$19</definedName>
    <definedName name="季度" localSheetId="37">'基准地价修正 (3层) '!$Q$19:$AD$19</definedName>
    <definedName name="季度">'基准地价修正（1层+地下1层）'!$Q$19:$AD$19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iterate="1"/>
</workbook>
</file>

<file path=xl/calcChain.xml><?xml version="1.0" encoding="utf-8"?>
<calcChain xmlns="http://schemas.openxmlformats.org/spreadsheetml/2006/main">
  <c r="H81" i="67"/>
  <c r="H79"/>
  <c r="H80"/>
  <c r="H78"/>
  <c r="F43" l="1"/>
  <c r="AH6" i="1"/>
  <c r="Y6"/>
  <c r="D29" i="79"/>
  <c r="D29" i="78"/>
  <c r="F113" i="79"/>
  <c r="N99"/>
  <c r="M99"/>
  <c r="L99"/>
  <c r="K99"/>
  <c r="J99"/>
  <c r="I99"/>
  <c r="H99"/>
  <c r="G99"/>
  <c r="F99"/>
  <c r="E99"/>
  <c r="D99"/>
  <c r="D108" s="1"/>
  <c r="C99"/>
  <c r="C108" s="1"/>
  <c r="M88"/>
  <c r="N88" s="1"/>
  <c r="K88"/>
  <c r="J88"/>
  <c r="D88"/>
  <c r="B88"/>
  <c r="N87"/>
  <c r="M87"/>
  <c r="K87"/>
  <c r="J87" s="1"/>
  <c r="D87"/>
  <c r="N86"/>
  <c r="M86"/>
  <c r="K86"/>
  <c r="J86" s="1"/>
  <c r="D86"/>
  <c r="B86"/>
  <c r="N85"/>
  <c r="M85"/>
  <c r="K85"/>
  <c r="J85" s="1"/>
  <c r="D85"/>
  <c r="B85"/>
  <c r="N84"/>
  <c r="M84"/>
  <c r="K84"/>
  <c r="J84" s="1"/>
  <c r="D84"/>
  <c r="B84"/>
  <c r="N83"/>
  <c r="M83"/>
  <c r="K83"/>
  <c r="J83" s="1"/>
  <c r="D83"/>
  <c r="B83"/>
  <c r="M82"/>
  <c r="N82" s="1"/>
  <c r="K82"/>
  <c r="J82"/>
  <c r="D82"/>
  <c r="B82"/>
  <c r="N81"/>
  <c r="M81"/>
  <c r="K81"/>
  <c r="J81" s="1"/>
  <c r="H81"/>
  <c r="F81"/>
  <c r="H87" s="1"/>
  <c r="E81"/>
  <c r="B79" s="1"/>
  <c r="D81"/>
  <c r="B81"/>
  <c r="N78"/>
  <c r="M78"/>
  <c r="K78"/>
  <c r="J78" s="1"/>
  <c r="D78"/>
  <c r="M77"/>
  <c r="N77" s="1"/>
  <c r="K77"/>
  <c r="J77"/>
  <c r="D77"/>
  <c r="B77"/>
  <c r="N76"/>
  <c r="M76"/>
  <c r="K76"/>
  <c r="J76" s="1"/>
  <c r="D76"/>
  <c r="N75"/>
  <c r="M75"/>
  <c r="K75"/>
  <c r="J75" s="1"/>
  <c r="D75"/>
  <c r="B75"/>
  <c r="N74"/>
  <c r="M74"/>
  <c r="K74"/>
  <c r="J74" s="1"/>
  <c r="D74"/>
  <c r="B74"/>
  <c r="N73"/>
  <c r="M73"/>
  <c r="K73"/>
  <c r="J73" s="1"/>
  <c r="D73"/>
  <c r="B73"/>
  <c r="N72"/>
  <c r="M72"/>
  <c r="K72"/>
  <c r="J72" s="1"/>
  <c r="D72"/>
  <c r="B72"/>
  <c r="N71"/>
  <c r="M71"/>
  <c r="K71"/>
  <c r="J71" s="1"/>
  <c r="D71"/>
  <c r="B71"/>
  <c r="N70"/>
  <c r="M70"/>
  <c r="K70"/>
  <c r="J70" s="1"/>
  <c r="H70"/>
  <c r="F70"/>
  <c r="H76" s="1"/>
  <c r="D70"/>
  <c r="E70" s="1"/>
  <c r="B68" s="1"/>
  <c r="B70"/>
  <c r="M67"/>
  <c r="N67" s="1"/>
  <c r="K67"/>
  <c r="J67"/>
  <c r="D67"/>
  <c r="B67"/>
  <c r="N66"/>
  <c r="M66"/>
  <c r="K66"/>
  <c r="J66" s="1"/>
  <c r="D66"/>
  <c r="B66"/>
  <c r="M65"/>
  <c r="N65" s="1"/>
  <c r="K65"/>
  <c r="J65"/>
  <c r="D65"/>
  <c r="B65"/>
  <c r="N64"/>
  <c r="M64"/>
  <c r="K64"/>
  <c r="J64" s="1"/>
  <c r="D64"/>
  <c r="N63"/>
  <c r="M63"/>
  <c r="K63"/>
  <c r="J63" s="1"/>
  <c r="D63"/>
  <c r="B63"/>
  <c r="N62"/>
  <c r="M62"/>
  <c r="K62"/>
  <c r="J62" s="1"/>
  <c r="D62"/>
  <c r="M61"/>
  <c r="N61" s="1"/>
  <c r="K61"/>
  <c r="J61"/>
  <c r="D61"/>
  <c r="B61"/>
  <c r="N60"/>
  <c r="M60"/>
  <c r="K60"/>
  <c r="J60" s="1"/>
  <c r="D60"/>
  <c r="B60"/>
  <c r="M59"/>
  <c r="N59" s="1"/>
  <c r="K59"/>
  <c r="J59"/>
  <c r="F59"/>
  <c r="H66" s="1"/>
  <c r="D59"/>
  <c r="E59" s="1"/>
  <c r="B57" s="1"/>
  <c r="B59"/>
  <c r="M56"/>
  <c r="N56" s="1"/>
  <c r="K56"/>
  <c r="J56"/>
  <c r="D56"/>
  <c r="B56"/>
  <c r="N55"/>
  <c r="M55"/>
  <c r="K55"/>
  <c r="J55" s="1"/>
  <c r="D55" s="1"/>
  <c r="B55"/>
  <c r="M54"/>
  <c r="N54" s="1"/>
  <c r="K54"/>
  <c r="J54"/>
  <c r="D54"/>
  <c r="B54"/>
  <c r="N53"/>
  <c r="M53"/>
  <c r="K53"/>
  <c r="N52"/>
  <c r="M52"/>
  <c r="K52"/>
  <c r="J52" s="1"/>
  <c r="D52"/>
  <c r="B52"/>
  <c r="M51"/>
  <c r="N51" s="1"/>
  <c r="K51"/>
  <c r="J51"/>
  <c r="D51"/>
  <c r="M50"/>
  <c r="N50" s="1"/>
  <c r="K50"/>
  <c r="J50"/>
  <c r="D50"/>
  <c r="B50"/>
  <c r="N49"/>
  <c r="M49"/>
  <c r="K49"/>
  <c r="B49"/>
  <c r="M48"/>
  <c r="N48" s="1"/>
  <c r="K48"/>
  <c r="J48"/>
  <c r="D48"/>
  <c r="B48"/>
  <c r="H39"/>
  <c r="H38"/>
  <c r="H37"/>
  <c r="H36"/>
  <c r="H35"/>
  <c r="H34"/>
  <c r="H33"/>
  <c r="J20"/>
  <c r="I20"/>
  <c r="M19"/>
  <c r="I19"/>
  <c r="G19"/>
  <c r="C18"/>
  <c r="C16"/>
  <c r="F15"/>
  <c r="E15"/>
  <c r="D15"/>
  <c r="C15"/>
  <c r="AJ12"/>
  <c r="AH12"/>
  <c r="AF12"/>
  <c r="AD12"/>
  <c r="AB12"/>
  <c r="Z12"/>
  <c r="Y12"/>
  <c r="Y13" s="1"/>
  <c r="C12"/>
  <c r="AI11"/>
  <c r="AG11"/>
  <c r="AE11"/>
  <c r="AC11"/>
  <c r="AA11"/>
  <c r="Y11"/>
  <c r="Y10"/>
  <c r="C10"/>
  <c r="C11" s="1"/>
  <c r="AJ9"/>
  <c r="AJ10" s="1"/>
  <c r="AI9"/>
  <c r="AI12" s="1"/>
  <c r="AI13" s="1"/>
  <c r="AH9"/>
  <c r="AH10" s="1"/>
  <c r="AG9"/>
  <c r="AG12" s="1"/>
  <c r="AG13" s="1"/>
  <c r="AF9"/>
  <c r="AF10" s="1"/>
  <c r="AE9"/>
  <c r="AE12" s="1"/>
  <c r="AE13" s="1"/>
  <c r="AD9"/>
  <c r="AD10" s="1"/>
  <c r="AC9"/>
  <c r="AC12" s="1"/>
  <c r="AC13" s="1"/>
  <c r="AB9"/>
  <c r="AB10" s="1"/>
  <c r="AA9"/>
  <c r="AA12" s="1"/>
  <c r="AA13" s="1"/>
  <c r="Z9"/>
  <c r="Z10" s="1"/>
  <c r="C9"/>
  <c r="X7"/>
  <c r="C7"/>
  <c r="A7"/>
  <c r="S6"/>
  <c r="S5"/>
  <c r="S3"/>
  <c r="G3"/>
  <c r="J22" s="1"/>
  <c r="I2"/>
  <c r="M12" s="1"/>
  <c r="G2"/>
  <c r="H113" s="1"/>
  <c r="M1"/>
  <c r="D1"/>
  <c r="F113" i="78"/>
  <c r="N99"/>
  <c r="M99"/>
  <c r="L99"/>
  <c r="K99"/>
  <c r="J99"/>
  <c r="I99"/>
  <c r="H99"/>
  <c r="G99"/>
  <c r="F99"/>
  <c r="E99"/>
  <c r="D99"/>
  <c r="D108" s="1"/>
  <c r="C99"/>
  <c r="C108" s="1"/>
  <c r="M88"/>
  <c r="N88" s="1"/>
  <c r="K88"/>
  <c r="J88"/>
  <c r="D88"/>
  <c r="B88"/>
  <c r="N87"/>
  <c r="M87"/>
  <c r="K87"/>
  <c r="J87" s="1"/>
  <c r="D87"/>
  <c r="N86"/>
  <c r="M86"/>
  <c r="K86"/>
  <c r="J86" s="1"/>
  <c r="D86"/>
  <c r="B86"/>
  <c r="N85"/>
  <c r="M85"/>
  <c r="K85"/>
  <c r="J85" s="1"/>
  <c r="D85"/>
  <c r="B85"/>
  <c r="N84"/>
  <c r="M84"/>
  <c r="K84"/>
  <c r="J84" s="1"/>
  <c r="D84"/>
  <c r="B84"/>
  <c r="N83"/>
  <c r="M83"/>
  <c r="K83"/>
  <c r="J83" s="1"/>
  <c r="D83"/>
  <c r="B83"/>
  <c r="M82"/>
  <c r="N82" s="1"/>
  <c r="K82"/>
  <c r="J82"/>
  <c r="D82"/>
  <c r="B82"/>
  <c r="N81"/>
  <c r="M81"/>
  <c r="K81"/>
  <c r="J81" s="1"/>
  <c r="H81"/>
  <c r="F81"/>
  <c r="H87" s="1"/>
  <c r="E81"/>
  <c r="B79" s="1"/>
  <c r="D81"/>
  <c r="B81"/>
  <c r="N78"/>
  <c r="M78"/>
  <c r="K78"/>
  <c r="J78" s="1"/>
  <c r="D78"/>
  <c r="M77"/>
  <c r="N77" s="1"/>
  <c r="K77"/>
  <c r="J77"/>
  <c r="D77"/>
  <c r="B77"/>
  <c r="N76"/>
  <c r="M76"/>
  <c r="K76"/>
  <c r="J76" s="1"/>
  <c r="D76"/>
  <c r="N75"/>
  <c r="M75"/>
  <c r="K75"/>
  <c r="J75" s="1"/>
  <c r="D75"/>
  <c r="B75"/>
  <c r="N74"/>
  <c r="M74"/>
  <c r="K74"/>
  <c r="J74" s="1"/>
  <c r="D74"/>
  <c r="B74"/>
  <c r="N73"/>
  <c r="M73"/>
  <c r="K73"/>
  <c r="J73" s="1"/>
  <c r="D73"/>
  <c r="B73"/>
  <c r="N72"/>
  <c r="M72"/>
  <c r="K72"/>
  <c r="J72" s="1"/>
  <c r="D72"/>
  <c r="B72"/>
  <c r="N71"/>
  <c r="M71"/>
  <c r="K71"/>
  <c r="J71" s="1"/>
  <c r="D71"/>
  <c r="B71"/>
  <c r="N70"/>
  <c r="M70"/>
  <c r="K70"/>
  <c r="J70" s="1"/>
  <c r="H70"/>
  <c r="F70"/>
  <c r="H76" s="1"/>
  <c r="D70"/>
  <c r="E70" s="1"/>
  <c r="B68" s="1"/>
  <c r="B70"/>
  <c r="M67"/>
  <c r="N67" s="1"/>
  <c r="K67"/>
  <c r="J67"/>
  <c r="D67"/>
  <c r="B67"/>
  <c r="N66"/>
  <c r="M66"/>
  <c r="K66"/>
  <c r="J66" s="1"/>
  <c r="D66"/>
  <c r="B66"/>
  <c r="M65"/>
  <c r="N65" s="1"/>
  <c r="K65"/>
  <c r="J65"/>
  <c r="D65"/>
  <c r="B65"/>
  <c r="N64"/>
  <c r="M64"/>
  <c r="K64"/>
  <c r="J64" s="1"/>
  <c r="D64"/>
  <c r="N63"/>
  <c r="M63"/>
  <c r="K63"/>
  <c r="J63" s="1"/>
  <c r="D63"/>
  <c r="B63"/>
  <c r="N62"/>
  <c r="M62"/>
  <c r="K62"/>
  <c r="J62" s="1"/>
  <c r="D62"/>
  <c r="M61"/>
  <c r="N61" s="1"/>
  <c r="K61"/>
  <c r="J61"/>
  <c r="D61"/>
  <c r="B61"/>
  <c r="N60"/>
  <c r="M60"/>
  <c r="K60"/>
  <c r="J60" s="1"/>
  <c r="D60"/>
  <c r="B60"/>
  <c r="M59"/>
  <c r="N59" s="1"/>
  <c r="K59"/>
  <c r="J59"/>
  <c r="F59"/>
  <c r="H66" s="1"/>
  <c r="D59"/>
  <c r="E59" s="1"/>
  <c r="B57" s="1"/>
  <c r="B59"/>
  <c r="M56"/>
  <c r="N56" s="1"/>
  <c r="K56"/>
  <c r="J56"/>
  <c r="D56"/>
  <c r="B56"/>
  <c r="N55"/>
  <c r="M55"/>
  <c r="K55"/>
  <c r="J55" s="1"/>
  <c r="D55" s="1"/>
  <c r="B55"/>
  <c r="M54"/>
  <c r="N54" s="1"/>
  <c r="K54"/>
  <c r="J54"/>
  <c r="D54"/>
  <c r="B54"/>
  <c r="N53"/>
  <c r="M53"/>
  <c r="K53"/>
  <c r="N52"/>
  <c r="M52"/>
  <c r="K52"/>
  <c r="J52" s="1"/>
  <c r="D52"/>
  <c r="B52"/>
  <c r="M51"/>
  <c r="N51" s="1"/>
  <c r="K51"/>
  <c r="J51"/>
  <c r="D51"/>
  <c r="M50"/>
  <c r="N50" s="1"/>
  <c r="K50"/>
  <c r="J50"/>
  <c r="D50"/>
  <c r="B50"/>
  <c r="N49"/>
  <c r="M49"/>
  <c r="K49"/>
  <c r="B49"/>
  <c r="M48"/>
  <c r="N48" s="1"/>
  <c r="K48"/>
  <c r="J48"/>
  <c r="D48"/>
  <c r="B48"/>
  <c r="H39"/>
  <c r="H38"/>
  <c r="H37"/>
  <c r="H36"/>
  <c r="H35"/>
  <c r="H34"/>
  <c r="H33"/>
  <c r="P25"/>
  <c r="P21"/>
  <c r="M20"/>
  <c r="J20"/>
  <c r="I20"/>
  <c r="O19"/>
  <c r="M19"/>
  <c r="I19"/>
  <c r="G19"/>
  <c r="C19"/>
  <c r="C18"/>
  <c r="C16"/>
  <c r="F15"/>
  <c r="E15"/>
  <c r="D15"/>
  <c r="C15"/>
  <c r="C12" s="1"/>
  <c r="AI12"/>
  <c r="AG12"/>
  <c r="AE12"/>
  <c r="AC12"/>
  <c r="AA12"/>
  <c r="Y12"/>
  <c r="M12"/>
  <c r="N11"/>
  <c r="Y10"/>
  <c r="N10"/>
  <c r="C10"/>
  <c r="C11" s="1"/>
  <c r="AJ9"/>
  <c r="AJ12" s="1"/>
  <c r="AI9"/>
  <c r="AI10" s="1"/>
  <c r="AH9"/>
  <c r="AH12" s="1"/>
  <c r="AG9"/>
  <c r="AG10" s="1"/>
  <c r="AF9"/>
  <c r="AF12" s="1"/>
  <c r="AE9"/>
  <c r="AE10" s="1"/>
  <c r="AD9"/>
  <c r="AD12" s="1"/>
  <c r="AC9"/>
  <c r="AC10" s="1"/>
  <c r="AB9"/>
  <c r="AB12" s="1"/>
  <c r="AA9"/>
  <c r="AA10" s="1"/>
  <c r="Z9"/>
  <c r="Z12" s="1"/>
  <c r="M9"/>
  <c r="C9"/>
  <c r="M8"/>
  <c r="M7"/>
  <c r="C7"/>
  <c r="A7"/>
  <c r="N6"/>
  <c r="N5"/>
  <c r="M4"/>
  <c r="N3"/>
  <c r="G3"/>
  <c r="M2"/>
  <c r="I2"/>
  <c r="N12" s="1"/>
  <c r="G2"/>
  <c r="H113" s="1"/>
  <c r="N1"/>
  <c r="M1"/>
  <c r="D1"/>
  <c r="D29" i="43"/>
  <c r="G19" i="6"/>
  <c r="E11" i="79" l="1"/>
  <c r="E10"/>
  <c r="E9"/>
  <c r="E8"/>
  <c r="N4"/>
  <c r="M5"/>
  <c r="M6"/>
  <c r="M10"/>
  <c r="AA10"/>
  <c r="AC10"/>
  <c r="AE10"/>
  <c r="AG10"/>
  <c r="AI10"/>
  <c r="M11"/>
  <c r="N12"/>
  <c r="C17"/>
  <c r="E17"/>
  <c r="H17"/>
  <c r="J17"/>
  <c r="L17"/>
  <c r="N17"/>
  <c r="P24"/>
  <c r="P23"/>
  <c r="P22"/>
  <c r="F22"/>
  <c r="F33"/>
  <c r="F35"/>
  <c r="F37"/>
  <c r="F39"/>
  <c r="F48"/>
  <c r="J49"/>
  <c r="D49"/>
  <c r="N2"/>
  <c r="M3"/>
  <c r="N7"/>
  <c r="N8"/>
  <c r="N9"/>
  <c r="N1"/>
  <c r="M2"/>
  <c r="S2"/>
  <c r="N101"/>
  <c r="L101"/>
  <c r="J101"/>
  <c r="H101"/>
  <c r="F101"/>
  <c r="D101"/>
  <c r="B113"/>
  <c r="M101"/>
  <c r="K101"/>
  <c r="I101"/>
  <c r="G101"/>
  <c r="E101"/>
  <c r="C101"/>
  <c r="H22"/>
  <c r="N3"/>
  <c r="M4"/>
  <c r="S4"/>
  <c r="N5"/>
  <c r="C6"/>
  <c r="N6"/>
  <c r="M7"/>
  <c r="S7"/>
  <c r="Z7"/>
  <c r="M8"/>
  <c r="M9"/>
  <c r="N10"/>
  <c r="N11"/>
  <c r="Z11"/>
  <c r="Z13" s="1"/>
  <c r="AB11"/>
  <c r="AB13" s="1"/>
  <c r="AD11"/>
  <c r="AD13" s="1"/>
  <c r="AF11"/>
  <c r="AF13" s="1"/>
  <c r="AH11"/>
  <c r="AH13" s="1"/>
  <c r="AJ11"/>
  <c r="AJ13" s="1"/>
  <c r="D17"/>
  <c r="I17"/>
  <c r="K17"/>
  <c r="M17"/>
  <c r="O17"/>
  <c r="C19"/>
  <c r="O19"/>
  <c r="M20"/>
  <c r="P21"/>
  <c r="E22"/>
  <c r="G22"/>
  <c r="C23"/>
  <c r="C21" s="1"/>
  <c r="P25"/>
  <c r="F34"/>
  <c r="F36"/>
  <c r="F38"/>
  <c r="J53"/>
  <c r="D53"/>
  <c r="E48" s="1"/>
  <c r="B46" s="1"/>
  <c r="C24" s="1"/>
  <c r="H59"/>
  <c r="H61"/>
  <c r="H62"/>
  <c r="H65"/>
  <c r="H67"/>
  <c r="H72"/>
  <c r="H74"/>
  <c r="H77"/>
  <c r="H78"/>
  <c r="H83"/>
  <c r="H85"/>
  <c r="H88"/>
  <c r="D109"/>
  <c r="F108"/>
  <c r="F109" s="1"/>
  <c r="F100"/>
  <c r="H108"/>
  <c r="H109" s="1"/>
  <c r="H100"/>
  <c r="J108"/>
  <c r="J109" s="1"/>
  <c r="J100"/>
  <c r="L108"/>
  <c r="L109" s="1"/>
  <c r="L100"/>
  <c r="N108"/>
  <c r="N109" s="1"/>
  <c r="N100"/>
  <c r="D100"/>
  <c r="H60"/>
  <c r="H63"/>
  <c r="H64"/>
  <c r="H71"/>
  <c r="H73"/>
  <c r="H75"/>
  <c r="H82"/>
  <c r="H84"/>
  <c r="H86"/>
  <c r="C109"/>
  <c r="E108"/>
  <c r="E109" s="1"/>
  <c r="E100"/>
  <c r="G108"/>
  <c r="G109" s="1"/>
  <c r="G100"/>
  <c r="I108"/>
  <c r="I109" s="1"/>
  <c r="I100"/>
  <c r="K108"/>
  <c r="K109" s="1"/>
  <c r="K100"/>
  <c r="M108"/>
  <c r="M109" s="1"/>
  <c r="M100"/>
  <c r="C100"/>
  <c r="E9" i="78"/>
  <c r="E8"/>
  <c r="E11"/>
  <c r="E10"/>
  <c r="N101"/>
  <c r="L101"/>
  <c r="J101"/>
  <c r="H101"/>
  <c r="F101"/>
  <c r="D101"/>
  <c r="B113"/>
  <c r="M101"/>
  <c r="K101"/>
  <c r="I101"/>
  <c r="G101"/>
  <c r="E101"/>
  <c r="C101"/>
  <c r="H22"/>
  <c r="Z11"/>
  <c r="Z13" s="1"/>
  <c r="AB11"/>
  <c r="AB13" s="1"/>
  <c r="AD11"/>
  <c r="AD13" s="1"/>
  <c r="AF11"/>
  <c r="AF13" s="1"/>
  <c r="AH11"/>
  <c r="AH13" s="1"/>
  <c r="AJ11"/>
  <c r="AJ13" s="1"/>
  <c r="D17"/>
  <c r="I17"/>
  <c r="K17"/>
  <c r="M17"/>
  <c r="O17"/>
  <c r="E22"/>
  <c r="G22"/>
  <c r="C23"/>
  <c r="C21" s="1"/>
  <c r="F34"/>
  <c r="F36"/>
  <c r="F38"/>
  <c r="J53"/>
  <c r="D53"/>
  <c r="S2"/>
  <c r="S4"/>
  <c r="C6"/>
  <c r="S7"/>
  <c r="Z7"/>
  <c r="Z10"/>
  <c r="AB10"/>
  <c r="AD10"/>
  <c r="AF10"/>
  <c r="AH10"/>
  <c r="AJ10"/>
  <c r="N2"/>
  <c r="M3"/>
  <c r="S3"/>
  <c r="N4"/>
  <c r="M5"/>
  <c r="S5"/>
  <c r="M6"/>
  <c r="S6"/>
  <c r="N7"/>
  <c r="X7"/>
  <c r="N8"/>
  <c r="N9"/>
  <c r="M10"/>
  <c r="M11"/>
  <c r="Y11"/>
  <c r="Y13" s="1"/>
  <c r="AA11"/>
  <c r="AA13" s="1"/>
  <c r="AC11"/>
  <c r="AC13" s="1"/>
  <c r="AE11"/>
  <c r="AE13" s="1"/>
  <c r="AG11"/>
  <c r="AG13" s="1"/>
  <c r="AI11"/>
  <c r="AI13" s="1"/>
  <c r="C17"/>
  <c r="E17"/>
  <c r="H17"/>
  <c r="J17"/>
  <c r="L17"/>
  <c r="N17"/>
  <c r="P24"/>
  <c r="P23"/>
  <c r="P22"/>
  <c r="F22"/>
  <c r="J22"/>
  <c r="F33"/>
  <c r="F35"/>
  <c r="F37"/>
  <c r="F39"/>
  <c r="F48"/>
  <c r="J49"/>
  <c r="D49"/>
  <c r="E48" s="1"/>
  <c r="B46" s="1"/>
  <c r="C24" s="1"/>
  <c r="H59"/>
  <c r="H61"/>
  <c r="H62"/>
  <c r="H65"/>
  <c r="H67"/>
  <c r="H72"/>
  <c r="H74"/>
  <c r="H77"/>
  <c r="H78"/>
  <c r="H83"/>
  <c r="H85"/>
  <c r="H88"/>
  <c r="D109"/>
  <c r="F108"/>
  <c r="F109" s="1"/>
  <c r="F100"/>
  <c r="H108"/>
  <c r="H109" s="1"/>
  <c r="H100"/>
  <c r="J108"/>
  <c r="J109" s="1"/>
  <c r="J100"/>
  <c r="L108"/>
  <c r="L109" s="1"/>
  <c r="L100"/>
  <c r="N108"/>
  <c r="N109" s="1"/>
  <c r="N100"/>
  <c r="D100"/>
  <c r="H60"/>
  <c r="H63"/>
  <c r="H64"/>
  <c r="H71"/>
  <c r="H73"/>
  <c r="H75"/>
  <c r="H82"/>
  <c r="H84"/>
  <c r="H86"/>
  <c r="C109"/>
  <c r="E108"/>
  <c r="E109" s="1"/>
  <c r="E100"/>
  <c r="G108"/>
  <c r="G109" s="1"/>
  <c r="G100"/>
  <c r="I108"/>
  <c r="I109" s="1"/>
  <c r="I100"/>
  <c r="K108"/>
  <c r="K109" s="1"/>
  <c r="K100"/>
  <c r="M108"/>
  <c r="M109" s="1"/>
  <c r="M100"/>
  <c r="C100"/>
  <c r="AH5" i="71"/>
  <c r="AG5"/>
  <c r="AF5"/>
  <c r="AE5"/>
  <c r="AD5"/>
  <c r="Q5"/>
  <c r="P5"/>
  <c r="O5"/>
  <c r="N5"/>
  <c r="E107" i="79" l="1"/>
  <c r="E106"/>
  <c r="E105"/>
  <c r="E104"/>
  <c r="E103"/>
  <c r="E102"/>
  <c r="I107"/>
  <c r="I106"/>
  <c r="I105"/>
  <c r="I104"/>
  <c r="I103"/>
  <c r="I102"/>
  <c r="M107"/>
  <c r="M106"/>
  <c r="M105"/>
  <c r="M104"/>
  <c r="M103"/>
  <c r="M102"/>
  <c r="D107"/>
  <c r="D106"/>
  <c r="D105"/>
  <c r="D104"/>
  <c r="D103"/>
  <c r="D102"/>
  <c r="H107"/>
  <c r="H106"/>
  <c r="H105"/>
  <c r="H104"/>
  <c r="H103"/>
  <c r="H102"/>
  <c r="L107"/>
  <c r="L106"/>
  <c r="L105"/>
  <c r="L104"/>
  <c r="L103"/>
  <c r="L102"/>
  <c r="H55"/>
  <c r="H56"/>
  <c r="H54"/>
  <c r="H51"/>
  <c r="H50"/>
  <c r="H48"/>
  <c r="H49"/>
  <c r="H53"/>
  <c r="H52"/>
  <c r="G17"/>
  <c r="D22"/>
  <c r="D5"/>
  <c r="C5"/>
  <c r="C107"/>
  <c r="C106"/>
  <c r="C105"/>
  <c r="C104"/>
  <c r="C103"/>
  <c r="C102"/>
  <c r="G107"/>
  <c r="G106"/>
  <c r="G105"/>
  <c r="G104"/>
  <c r="G103"/>
  <c r="G102"/>
  <c r="K107"/>
  <c r="K106"/>
  <c r="K105"/>
  <c r="K104"/>
  <c r="K103"/>
  <c r="K102"/>
  <c r="I118"/>
  <c r="J118" s="1"/>
  <c r="K118" s="1"/>
  <c r="L118" s="1"/>
  <c r="M118" s="1"/>
  <c r="G118"/>
  <c r="H118" s="1"/>
  <c r="I117"/>
  <c r="J117" s="1"/>
  <c r="K117" s="1"/>
  <c r="L117" s="1"/>
  <c r="M117" s="1"/>
  <c r="I116"/>
  <c r="J116" s="1"/>
  <c r="K116" s="1"/>
  <c r="L116" s="1"/>
  <c r="M116" s="1"/>
  <c r="I115"/>
  <c r="J115" s="1"/>
  <c r="K115" s="1"/>
  <c r="L115" s="1"/>
  <c r="M115" s="1"/>
  <c r="D118"/>
  <c r="E118" s="1"/>
  <c r="F118" s="1"/>
  <c r="B118"/>
  <c r="C118" s="1"/>
  <c r="D117"/>
  <c r="E117" s="1"/>
  <c r="F117" s="1"/>
  <c r="G117" s="1"/>
  <c r="H117" s="1"/>
  <c r="B117"/>
  <c r="C117" s="1"/>
  <c r="D116"/>
  <c r="E116" s="1"/>
  <c r="F116" s="1"/>
  <c r="G116" s="1"/>
  <c r="H116" s="1"/>
  <c r="B116"/>
  <c r="C116" s="1"/>
  <c r="D115"/>
  <c r="E115" s="1"/>
  <c r="F115" s="1"/>
  <c r="G115" s="1"/>
  <c r="H115" s="1"/>
  <c r="B115"/>
  <c r="F107"/>
  <c r="F106"/>
  <c r="F105"/>
  <c r="F104"/>
  <c r="F103"/>
  <c r="F102"/>
  <c r="J107"/>
  <c r="J106"/>
  <c r="J105"/>
  <c r="J104"/>
  <c r="J103"/>
  <c r="J102"/>
  <c r="N107"/>
  <c r="N106"/>
  <c r="N105"/>
  <c r="N104"/>
  <c r="N103"/>
  <c r="N102"/>
  <c r="G17" i="78"/>
  <c r="D22"/>
  <c r="E107"/>
  <c r="E106"/>
  <c r="E105"/>
  <c r="E104"/>
  <c r="E103"/>
  <c r="E102"/>
  <c r="I107"/>
  <c r="I106"/>
  <c r="I105"/>
  <c r="I104"/>
  <c r="I103"/>
  <c r="I102"/>
  <c r="M107"/>
  <c r="M106"/>
  <c r="M105"/>
  <c r="M104"/>
  <c r="M103"/>
  <c r="M102"/>
  <c r="D107"/>
  <c r="D106"/>
  <c r="D105"/>
  <c r="D104"/>
  <c r="D103"/>
  <c r="D102"/>
  <c r="H107"/>
  <c r="H106"/>
  <c r="H105"/>
  <c r="H104"/>
  <c r="H103"/>
  <c r="H102"/>
  <c r="L107"/>
  <c r="L106"/>
  <c r="L105"/>
  <c r="L104"/>
  <c r="L103"/>
  <c r="L102"/>
  <c r="H56"/>
  <c r="H54"/>
  <c r="H51"/>
  <c r="H50"/>
  <c r="H48"/>
  <c r="H55"/>
  <c r="H53"/>
  <c r="H52"/>
  <c r="H49"/>
  <c r="C5"/>
  <c r="D5"/>
  <c r="C107"/>
  <c r="C106"/>
  <c r="C105"/>
  <c r="C104"/>
  <c r="C103"/>
  <c r="C102"/>
  <c r="G107"/>
  <c r="G106"/>
  <c r="G105"/>
  <c r="G104"/>
  <c r="G103"/>
  <c r="G102"/>
  <c r="K107"/>
  <c r="K106"/>
  <c r="K105"/>
  <c r="K104"/>
  <c r="K103"/>
  <c r="K102"/>
  <c r="I118"/>
  <c r="J118" s="1"/>
  <c r="K118" s="1"/>
  <c r="L118" s="1"/>
  <c r="M118" s="1"/>
  <c r="G118"/>
  <c r="H118" s="1"/>
  <c r="I117"/>
  <c r="J117" s="1"/>
  <c r="K117" s="1"/>
  <c r="L117" s="1"/>
  <c r="M117" s="1"/>
  <c r="I116"/>
  <c r="J116" s="1"/>
  <c r="K116" s="1"/>
  <c r="L116" s="1"/>
  <c r="M116" s="1"/>
  <c r="I115"/>
  <c r="J115" s="1"/>
  <c r="K115" s="1"/>
  <c r="L115" s="1"/>
  <c r="M115" s="1"/>
  <c r="D118"/>
  <c r="E118" s="1"/>
  <c r="F118" s="1"/>
  <c r="B118"/>
  <c r="C118" s="1"/>
  <c r="D117"/>
  <c r="E117" s="1"/>
  <c r="F117" s="1"/>
  <c r="G117" s="1"/>
  <c r="H117" s="1"/>
  <c r="B117"/>
  <c r="C117" s="1"/>
  <c r="D116"/>
  <c r="E116" s="1"/>
  <c r="F116" s="1"/>
  <c r="G116" s="1"/>
  <c r="H116" s="1"/>
  <c r="B116"/>
  <c r="C116" s="1"/>
  <c r="D115"/>
  <c r="E115" s="1"/>
  <c r="F115" s="1"/>
  <c r="G115" s="1"/>
  <c r="H115" s="1"/>
  <c r="B115"/>
  <c r="F107"/>
  <c r="F106"/>
  <c r="F105"/>
  <c r="F104"/>
  <c r="F103"/>
  <c r="F102"/>
  <c r="J107"/>
  <c r="J106"/>
  <c r="J105"/>
  <c r="J104"/>
  <c r="J103"/>
  <c r="J102"/>
  <c r="N107"/>
  <c r="N106"/>
  <c r="N105"/>
  <c r="N104"/>
  <c r="N103"/>
  <c r="N102"/>
  <c r="V7" i="71"/>
  <c r="U7"/>
  <c r="T7"/>
  <c r="S7"/>
  <c r="C115" i="79" l="1"/>
  <c r="D113"/>
  <c r="C115" i="78"/>
  <c r="D113"/>
  <c r="AH6" i="71"/>
  <c r="AG6"/>
  <c r="AE6"/>
  <c r="AF6" s="1"/>
  <c r="AD6"/>
  <c r="Q6"/>
  <c r="AB5" s="1"/>
  <c r="P6"/>
  <c r="AA5" s="1"/>
  <c r="O6"/>
  <c r="Y5" s="1"/>
  <c r="Z5" s="1"/>
  <c r="N6"/>
  <c r="X5" s="1"/>
  <c r="AB9" l="1"/>
  <c r="Q8"/>
  <c r="AB8"/>
  <c r="P8"/>
  <c r="AA8"/>
  <c r="O8"/>
  <c r="Y8"/>
  <c r="Z8" s="1"/>
  <c r="N8"/>
  <c r="X8"/>
  <c r="AH7"/>
  <c r="AG7"/>
  <c r="AE7"/>
  <c r="AF7"/>
  <c r="AD7"/>
  <c r="Q7"/>
  <c r="AB6" s="1"/>
  <c r="P7"/>
  <c r="AA6" s="1"/>
  <c r="O7"/>
  <c r="N7"/>
  <c r="X6" s="1"/>
  <c r="F8"/>
  <c r="E8"/>
  <c r="E7"/>
  <c r="E6" s="1"/>
  <c r="E5" s="1"/>
  <c r="C8"/>
  <c r="C7"/>
  <c r="C6" s="1"/>
  <c r="B8"/>
  <c r="AH8"/>
  <c r="AG8"/>
  <c r="AE8"/>
  <c r="AF8"/>
  <c r="AD8"/>
  <c r="Q9"/>
  <c r="Q10"/>
  <c r="P9"/>
  <c r="P10"/>
  <c r="O9"/>
  <c r="O10"/>
  <c r="N9"/>
  <c r="N10"/>
  <c r="F10"/>
  <c r="F9"/>
  <c r="E10"/>
  <c r="E9"/>
  <c r="C10"/>
  <c r="C9"/>
  <c r="D8"/>
  <c r="B10"/>
  <c r="B9"/>
  <c r="AH9"/>
  <c r="AG9"/>
  <c r="AE9"/>
  <c r="AF9"/>
  <c r="AD9"/>
  <c r="F24" i="12"/>
  <c r="F7" i="69"/>
  <c r="F7" i="68"/>
  <c r="M15" i="45"/>
  <c r="L15"/>
  <c r="K15"/>
  <c r="J15"/>
  <c r="I15"/>
  <c r="H15"/>
  <c r="G15"/>
  <c r="F15"/>
  <c r="E15"/>
  <c r="D15"/>
  <c r="C15"/>
  <c r="B15"/>
  <c r="AH10" i="71"/>
  <c r="AG10"/>
  <c r="AE10"/>
  <c r="AF10"/>
  <c r="AD10"/>
  <c r="AA9"/>
  <c r="Y9"/>
  <c r="X9"/>
  <c r="AD11"/>
  <c r="AH11"/>
  <c r="AG11"/>
  <c r="AE11"/>
  <c r="AF11"/>
  <c r="Q11"/>
  <c r="P11"/>
  <c r="O11"/>
  <c r="N11"/>
  <c r="L3"/>
  <c r="AH3" s="1"/>
  <c r="K3"/>
  <c r="AG3" s="1"/>
  <c r="J3"/>
  <c r="AE3" s="1"/>
  <c r="I3"/>
  <c r="AH12"/>
  <c r="AG12"/>
  <c r="AE12"/>
  <c r="AF12"/>
  <c r="AD12"/>
  <c r="Q12"/>
  <c r="Q13"/>
  <c r="P12"/>
  <c r="P13"/>
  <c r="AA12"/>
  <c r="O12"/>
  <c r="O13"/>
  <c r="N12"/>
  <c r="N13"/>
  <c r="X12"/>
  <c r="N14"/>
  <c r="AH13"/>
  <c r="AG13"/>
  <c r="AE13"/>
  <c r="AF13"/>
  <c r="AD13"/>
  <c r="Q14"/>
  <c r="AB12"/>
  <c r="P14"/>
  <c r="AA13"/>
  <c r="O14"/>
  <c r="Y12"/>
  <c r="Z12"/>
  <c r="M19" i="43"/>
  <c r="D16" i="71"/>
  <c r="AH14"/>
  <c r="AG14"/>
  <c r="AE14"/>
  <c r="AF14"/>
  <c r="AD14"/>
  <c r="AD15"/>
  <c r="AG15"/>
  <c r="AH15"/>
  <c r="AE15"/>
  <c r="AF15"/>
  <c r="N15"/>
  <c r="X13"/>
  <c r="Q15"/>
  <c r="AB14"/>
  <c r="P15"/>
  <c r="AA14"/>
  <c r="O15"/>
  <c r="Y13"/>
  <c r="Z13"/>
  <c r="Y14"/>
  <c r="Z14"/>
  <c r="C15"/>
  <c r="C14"/>
  <c r="Q16"/>
  <c r="F15"/>
  <c r="F14"/>
  <c r="F13"/>
  <c r="P16"/>
  <c r="E15"/>
  <c r="E14"/>
  <c r="E13"/>
  <c r="O16"/>
  <c r="N16"/>
  <c r="B15"/>
  <c r="B14"/>
  <c r="B13"/>
  <c r="B12"/>
  <c r="B11"/>
  <c r="V15"/>
  <c r="AB15"/>
  <c r="Y15"/>
  <c r="Z15"/>
  <c r="X15"/>
  <c r="AA15"/>
  <c r="A2" i="53"/>
  <c r="K59" i="67"/>
  <c r="P61"/>
  <c r="K59" i="15"/>
  <c r="P74"/>
  <c r="P61"/>
  <c r="P74" i="67"/>
  <c r="D116" i="39"/>
  <c r="E116"/>
  <c r="F116"/>
  <c r="G116"/>
  <c r="H116"/>
  <c r="I116"/>
  <c r="J116"/>
  <c r="K116"/>
  <c r="L116"/>
  <c r="M116"/>
  <c r="C116"/>
  <c r="A21" i="62"/>
  <c r="A20"/>
  <c r="A22" i="51"/>
  <c r="A21"/>
  <c r="A20"/>
  <c r="A15" i="62"/>
  <c r="A14"/>
  <c r="A13"/>
  <c r="B59" i="72" s="1"/>
  <c r="A19" i="62"/>
  <c r="A12"/>
  <c r="B58" i="72" s="1"/>
  <c r="A120" i="9"/>
  <c r="H2" i="52"/>
  <c r="A1"/>
  <c r="A3" i="53"/>
  <c r="Q17" i="71"/>
  <c r="P17"/>
  <c r="O17"/>
  <c r="N17"/>
  <c r="A15" i="51"/>
  <c r="B12" i="72" s="1"/>
  <c r="C76" i="9"/>
  <c r="I107" i="40"/>
  <c r="K6" i="4"/>
  <c r="B22" i="31"/>
  <c r="N56" i="9"/>
  <c r="M56"/>
  <c r="K56"/>
  <c r="E15" i="74"/>
  <c r="F15"/>
  <c r="E16"/>
  <c r="F16"/>
  <c r="E17"/>
  <c r="F17"/>
  <c r="E18"/>
  <c r="F18"/>
  <c r="E19"/>
  <c r="F19"/>
  <c r="E20"/>
  <c r="F20"/>
  <c r="E21"/>
  <c r="F21"/>
  <c r="E22"/>
  <c r="F22"/>
  <c r="E23"/>
  <c r="F23"/>
  <c r="B3"/>
  <c r="C91" i="9"/>
  <c r="B8" i="72"/>
  <c r="O18" i="71"/>
  <c r="P18"/>
  <c r="Q18"/>
  <c r="N18"/>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D28"/>
  <c r="AE28"/>
  <c r="AF28"/>
  <c r="AG28"/>
  <c r="AH28"/>
  <c r="AD29"/>
  <c r="AE29"/>
  <c r="AF29"/>
  <c r="AG29"/>
  <c r="AH29"/>
  <c r="AH30"/>
  <c r="AG30"/>
  <c r="AE30"/>
  <c r="AF30"/>
  <c r="AD30"/>
  <c r="AD31"/>
  <c r="AE31"/>
  <c r="AF31"/>
  <c r="AG31"/>
  <c r="AH31"/>
  <c r="S2" i="31"/>
  <c r="M2"/>
  <c r="N2"/>
  <c r="O2"/>
  <c r="P2"/>
  <c r="Q2"/>
  <c r="R2"/>
  <c r="C1" i="73"/>
  <c r="L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s="1"/>
  <c r="B54" i="72" s="1"/>
  <c r="E111" i="9"/>
  <c r="A126"/>
  <c r="E109"/>
  <c r="A124"/>
  <c r="B44" i="72"/>
  <c r="B42"/>
  <c r="B69"/>
  <c r="B68"/>
  <c r="B63"/>
  <c r="B62"/>
  <c r="B16"/>
  <c r="B65"/>
  <c r="B60"/>
  <c r="B67"/>
  <c r="B66"/>
  <c r="B10"/>
  <c r="C53" i="10"/>
  <c r="B51"/>
  <c r="B19" i="72"/>
  <c r="A18" i="51"/>
  <c r="B13" i="72" s="1"/>
  <c r="B49" i="48"/>
  <c r="B5" i="72"/>
  <c r="I19" i="43"/>
  <c r="D80" i="71"/>
  <c r="F79"/>
  <c r="E79"/>
  <c r="E78"/>
  <c r="E77"/>
  <c r="C79"/>
  <c r="D79"/>
  <c r="B79"/>
  <c r="F78"/>
  <c r="F77"/>
  <c r="B78"/>
  <c r="B77"/>
  <c r="D76"/>
  <c r="F75"/>
  <c r="E75"/>
  <c r="E74"/>
  <c r="E73"/>
  <c r="C75"/>
  <c r="D75"/>
  <c r="B75"/>
  <c r="F74"/>
  <c r="F73"/>
  <c r="B74"/>
  <c r="B73"/>
  <c r="D72"/>
  <c r="Q71"/>
  <c r="P71"/>
  <c r="O71"/>
  <c r="N71"/>
  <c r="F71"/>
  <c r="V71"/>
  <c r="E71"/>
  <c r="U71"/>
  <c r="C71"/>
  <c r="T71"/>
  <c r="B71"/>
  <c r="S71"/>
  <c r="Q70"/>
  <c r="P70"/>
  <c r="O70"/>
  <c r="N70"/>
  <c r="F70"/>
  <c r="F69"/>
  <c r="B70"/>
  <c r="B69"/>
  <c r="Q69"/>
  <c r="P69"/>
  <c r="O69"/>
  <c r="N69"/>
  <c r="Q68"/>
  <c r="P68"/>
  <c r="O68"/>
  <c r="N68"/>
  <c r="D68"/>
  <c r="Q67"/>
  <c r="P67"/>
  <c r="O67"/>
  <c r="N67"/>
  <c r="F67"/>
  <c r="V67"/>
  <c r="E67"/>
  <c r="U67"/>
  <c r="C67"/>
  <c r="T67"/>
  <c r="B67"/>
  <c r="S67"/>
  <c r="Q66"/>
  <c r="P66"/>
  <c r="O66"/>
  <c r="N66"/>
  <c r="F66"/>
  <c r="F65"/>
  <c r="B66"/>
  <c r="B65"/>
  <c r="Q65"/>
  <c r="P65"/>
  <c r="O65"/>
  <c r="N65"/>
  <c r="Q64"/>
  <c r="P64"/>
  <c r="O64"/>
  <c r="N64"/>
  <c r="D64"/>
  <c r="Q63"/>
  <c r="P63"/>
  <c r="O63"/>
  <c r="N63"/>
  <c r="F63"/>
  <c r="V63"/>
  <c r="E63"/>
  <c r="U63"/>
  <c r="C63"/>
  <c r="T63"/>
  <c r="B63"/>
  <c r="S63"/>
  <c r="Q62"/>
  <c r="P62"/>
  <c r="O62"/>
  <c r="N62"/>
  <c r="F62"/>
  <c r="F61"/>
  <c r="B62"/>
  <c r="B61"/>
  <c r="Q61"/>
  <c r="P61"/>
  <c r="O61"/>
  <c r="N61"/>
  <c r="Q60"/>
  <c r="P60"/>
  <c r="O60"/>
  <c r="N60"/>
  <c r="D60"/>
  <c r="F59"/>
  <c r="V59"/>
  <c r="E59"/>
  <c r="P59"/>
  <c r="C59"/>
  <c r="B59"/>
  <c r="S59"/>
  <c r="F58"/>
  <c r="F57"/>
  <c r="Q57"/>
  <c r="B58"/>
  <c r="D56"/>
  <c r="Q55"/>
  <c r="P55"/>
  <c r="O55"/>
  <c r="N55"/>
  <c r="Q54"/>
  <c r="P54"/>
  <c r="O54"/>
  <c r="N54"/>
  <c r="Q53"/>
  <c r="P53"/>
  <c r="O53"/>
  <c r="N53"/>
  <c r="Q52"/>
  <c r="F53"/>
  <c r="F54"/>
  <c r="F55"/>
  <c r="V55"/>
  <c r="P52"/>
  <c r="E53"/>
  <c r="O52"/>
  <c r="C53"/>
  <c r="N52"/>
  <c r="B53"/>
  <c r="B54"/>
  <c r="B55"/>
  <c r="S55"/>
  <c r="D52"/>
  <c r="Q51"/>
  <c r="P51"/>
  <c r="O51"/>
  <c r="N51"/>
  <c r="Q50"/>
  <c r="P50"/>
  <c r="O50"/>
  <c r="N50"/>
  <c r="Q49"/>
  <c r="P49"/>
  <c r="O49"/>
  <c r="N49"/>
  <c r="Q48"/>
  <c r="F49"/>
  <c r="F50"/>
  <c r="F51"/>
  <c r="V51"/>
  <c r="P48"/>
  <c r="E49"/>
  <c r="O48"/>
  <c r="C49"/>
  <c r="N48"/>
  <c r="B49"/>
  <c r="B50"/>
  <c r="B51"/>
  <c r="S51"/>
  <c r="D48"/>
  <c r="Q47"/>
  <c r="P47"/>
  <c r="O47"/>
  <c r="N47"/>
  <c r="Q46"/>
  <c r="P46"/>
  <c r="O46"/>
  <c r="N46"/>
  <c r="Q45"/>
  <c r="P45"/>
  <c r="O45"/>
  <c r="N45"/>
  <c r="C45"/>
  <c r="Q44"/>
  <c r="F45"/>
  <c r="F46"/>
  <c r="F47"/>
  <c r="V47"/>
  <c r="P44"/>
  <c r="E45"/>
  <c r="O44"/>
  <c r="N44"/>
  <c r="B45"/>
  <c r="B46"/>
  <c r="B47"/>
  <c r="S47"/>
  <c r="D44"/>
  <c r="Q43"/>
  <c r="P43"/>
  <c r="O43"/>
  <c r="N43"/>
  <c r="Q42"/>
  <c r="P42"/>
  <c r="O42"/>
  <c r="N42"/>
  <c r="Q41"/>
  <c r="P41"/>
  <c r="O41"/>
  <c r="N41"/>
  <c r="Q40"/>
  <c r="F41"/>
  <c r="P40"/>
  <c r="E41"/>
  <c r="E42"/>
  <c r="E43"/>
  <c r="U43"/>
  <c r="O40"/>
  <c r="C41"/>
  <c r="N40"/>
  <c r="B41"/>
  <c r="B42"/>
  <c r="B43"/>
  <c r="S43"/>
  <c r="D40"/>
  <c r="T39"/>
  <c r="Q39"/>
  <c r="P39"/>
  <c r="O39"/>
  <c r="N39"/>
  <c r="D39"/>
  <c r="Q38"/>
  <c r="P38"/>
  <c r="O38"/>
  <c r="N38"/>
  <c r="Q37"/>
  <c r="P37"/>
  <c r="O37"/>
  <c r="N37"/>
  <c r="F37"/>
  <c r="F38"/>
  <c r="F39"/>
  <c r="V39"/>
  <c r="Q36"/>
  <c r="P36"/>
  <c r="E37"/>
  <c r="E38"/>
  <c r="E39"/>
  <c r="U39"/>
  <c r="O36"/>
  <c r="C37"/>
  <c r="N36"/>
  <c r="B37"/>
  <c r="B38"/>
  <c r="B39"/>
  <c r="S39"/>
  <c r="D36"/>
  <c r="Q35"/>
  <c r="P35"/>
  <c r="O35"/>
  <c r="N35"/>
  <c r="Q34"/>
  <c r="P34"/>
  <c r="O34"/>
  <c r="N34"/>
  <c r="Q33"/>
  <c r="P33"/>
  <c r="O33"/>
  <c r="N33"/>
  <c r="F33"/>
  <c r="F34"/>
  <c r="F35"/>
  <c r="V35"/>
  <c r="Q32"/>
  <c r="P32"/>
  <c r="E33"/>
  <c r="E34"/>
  <c r="E35"/>
  <c r="U35"/>
  <c r="O32"/>
  <c r="C33"/>
  <c r="N32"/>
  <c r="B33"/>
  <c r="B34"/>
  <c r="B35"/>
  <c r="S35"/>
  <c r="D32"/>
  <c r="Q31"/>
  <c r="P31"/>
  <c r="O31"/>
  <c r="N31"/>
  <c r="AB30"/>
  <c r="Q30"/>
  <c r="P30"/>
  <c r="AA30"/>
  <c r="O30"/>
  <c r="Y30"/>
  <c r="Z30"/>
  <c r="N30"/>
  <c r="X30"/>
  <c r="Q29"/>
  <c r="AB29"/>
  <c r="P29"/>
  <c r="O29"/>
  <c r="Y29"/>
  <c r="Z29"/>
  <c r="N29"/>
  <c r="F29"/>
  <c r="F30"/>
  <c r="F31"/>
  <c r="V31"/>
  <c r="Q28"/>
  <c r="P28"/>
  <c r="O28"/>
  <c r="N28"/>
  <c r="D28"/>
  <c r="Q27"/>
  <c r="AB27"/>
  <c r="P27"/>
  <c r="O27"/>
  <c r="Y27"/>
  <c r="Z27"/>
  <c r="N27"/>
  <c r="Q26"/>
  <c r="AB26"/>
  <c r="P26"/>
  <c r="O26"/>
  <c r="Y26"/>
  <c r="Z26"/>
  <c r="N26"/>
  <c r="Q25"/>
  <c r="AB25"/>
  <c r="P25"/>
  <c r="O25"/>
  <c r="Y25"/>
  <c r="Z25"/>
  <c r="N25"/>
  <c r="F25"/>
  <c r="F26"/>
  <c r="F27"/>
  <c r="V27"/>
  <c r="Q24"/>
  <c r="P24"/>
  <c r="O24"/>
  <c r="N24"/>
  <c r="D24"/>
  <c r="Q23"/>
  <c r="AB23"/>
  <c r="P23"/>
  <c r="O23"/>
  <c r="Y23"/>
  <c r="Z23"/>
  <c r="N23"/>
  <c r="Q22"/>
  <c r="AB22"/>
  <c r="P22"/>
  <c r="O22"/>
  <c r="Y22"/>
  <c r="Z22"/>
  <c r="N22"/>
  <c r="Q21"/>
  <c r="AB21"/>
  <c r="P21"/>
  <c r="O21"/>
  <c r="Y21"/>
  <c r="Z21"/>
  <c r="N21"/>
  <c r="F21"/>
  <c r="F22"/>
  <c r="F23"/>
  <c r="V23"/>
  <c r="Q20"/>
  <c r="P20"/>
  <c r="O20"/>
  <c r="N20"/>
  <c r="D20"/>
  <c r="O19"/>
  <c r="N19"/>
  <c r="B21"/>
  <c r="B22"/>
  <c r="B23"/>
  <c r="S23"/>
  <c r="X20"/>
  <c r="E21"/>
  <c r="E22"/>
  <c r="E23"/>
  <c r="U23"/>
  <c r="AA20"/>
  <c r="B25"/>
  <c r="B26"/>
  <c r="B27"/>
  <c r="S27"/>
  <c r="X24"/>
  <c r="B29"/>
  <c r="B30"/>
  <c r="B31"/>
  <c r="S31"/>
  <c r="X28"/>
  <c r="E29"/>
  <c r="E30"/>
  <c r="E31"/>
  <c r="U31"/>
  <c r="AA28"/>
  <c r="N59"/>
  <c r="E25"/>
  <c r="E26"/>
  <c r="E27"/>
  <c r="U27"/>
  <c r="AA24"/>
  <c r="C21"/>
  <c r="Y20"/>
  <c r="Z20"/>
  <c r="AB20"/>
  <c r="X21"/>
  <c r="AA21"/>
  <c r="X22"/>
  <c r="AA22"/>
  <c r="X23"/>
  <c r="AA23"/>
  <c r="C25"/>
  <c r="C26"/>
  <c r="Y24"/>
  <c r="Z24"/>
  <c r="AB24"/>
  <c r="X25"/>
  <c r="AA25"/>
  <c r="X26"/>
  <c r="AA26"/>
  <c r="X27"/>
  <c r="AA27"/>
  <c r="C29"/>
  <c r="Y28"/>
  <c r="Z28"/>
  <c r="AB28"/>
  <c r="X29"/>
  <c r="AA29"/>
  <c r="F42"/>
  <c r="F43"/>
  <c r="V43"/>
  <c r="C19"/>
  <c r="Y16"/>
  <c r="Z16"/>
  <c r="Y17"/>
  <c r="Z17"/>
  <c r="Y18"/>
  <c r="Z18"/>
  <c r="Y19"/>
  <c r="Z19"/>
  <c r="B19"/>
  <c r="B18"/>
  <c r="B17"/>
  <c r="X16"/>
  <c r="X17"/>
  <c r="X18"/>
  <c r="X19"/>
  <c r="C22"/>
  <c r="D21"/>
  <c r="D25"/>
  <c r="C30"/>
  <c r="D29"/>
  <c r="C34"/>
  <c r="D33"/>
  <c r="C38"/>
  <c r="D38"/>
  <c r="D37"/>
  <c r="C42"/>
  <c r="D41"/>
  <c r="P19"/>
  <c r="E46"/>
  <c r="E47"/>
  <c r="U47"/>
  <c r="E50"/>
  <c r="E51"/>
  <c r="U51"/>
  <c r="E54"/>
  <c r="E55"/>
  <c r="U55"/>
  <c r="Q56"/>
  <c r="U59"/>
  <c r="E58"/>
  <c r="Q19"/>
  <c r="C46"/>
  <c r="D45"/>
  <c r="C50"/>
  <c r="D49"/>
  <c r="C54"/>
  <c r="D53"/>
  <c r="N58"/>
  <c r="B57"/>
  <c r="Q58"/>
  <c r="T59"/>
  <c r="O59"/>
  <c r="D59"/>
  <c r="C58"/>
  <c r="Q59"/>
  <c r="C62"/>
  <c r="E62"/>
  <c r="E61"/>
  <c r="D63"/>
  <c r="C66"/>
  <c r="E66"/>
  <c r="E65"/>
  <c r="D67"/>
  <c r="C70"/>
  <c r="E70"/>
  <c r="E69"/>
  <c r="D71"/>
  <c r="C74"/>
  <c r="C78"/>
  <c r="T19"/>
  <c r="C18"/>
  <c r="S19"/>
  <c r="F19"/>
  <c r="F18"/>
  <c r="F17"/>
  <c r="AB16"/>
  <c r="AB17"/>
  <c r="AB18"/>
  <c r="AB19"/>
  <c r="E19"/>
  <c r="E18"/>
  <c r="E17"/>
  <c r="AA3"/>
  <c r="AA16"/>
  <c r="AA17"/>
  <c r="AA18"/>
  <c r="AA19"/>
  <c r="D19"/>
  <c r="U19"/>
  <c r="C57"/>
  <c r="O58"/>
  <c r="D58"/>
  <c r="C55"/>
  <c r="D54"/>
  <c r="D74"/>
  <c r="C73"/>
  <c r="D73"/>
  <c r="D66"/>
  <c r="C65"/>
  <c r="D65"/>
  <c r="N56"/>
  <c r="N57"/>
  <c r="D78"/>
  <c r="C77"/>
  <c r="D77"/>
  <c r="D70"/>
  <c r="C69"/>
  <c r="D69"/>
  <c r="D62"/>
  <c r="C61"/>
  <c r="D61"/>
  <c r="C51"/>
  <c r="D50"/>
  <c r="C47"/>
  <c r="D46"/>
  <c r="P58"/>
  <c r="E57"/>
  <c r="C43"/>
  <c r="D42"/>
  <c r="C35"/>
  <c r="D34"/>
  <c r="C31"/>
  <c r="D30"/>
  <c r="C27"/>
  <c r="D26"/>
  <c r="C23"/>
  <c r="D22"/>
  <c r="C17"/>
  <c r="D17"/>
  <c r="D18"/>
  <c r="V19"/>
  <c r="P56"/>
  <c r="P57"/>
  <c r="O57"/>
  <c r="D57"/>
  <c r="O56"/>
  <c r="T23"/>
  <c r="D23"/>
  <c r="T27"/>
  <c r="D27"/>
  <c r="T31"/>
  <c r="D31"/>
  <c r="T35"/>
  <c r="D35"/>
  <c r="T43"/>
  <c r="D43"/>
  <c r="T47"/>
  <c r="D47"/>
  <c r="T51"/>
  <c r="D51"/>
  <c r="T55"/>
  <c r="D55"/>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AC21" i="37"/>
  <c r="W21"/>
  <c r="AC21" i="34"/>
  <c r="W21"/>
  <c r="AC21" i="33"/>
  <c r="W21"/>
  <c r="AB21" i="21"/>
  <c r="U21"/>
  <c r="G83"/>
  <c r="J21"/>
  <c r="F38" i="68"/>
  <c r="E37"/>
  <c r="F36"/>
  <c r="F35"/>
  <c r="F21"/>
  <c r="C21" s="1"/>
  <c r="F20"/>
  <c r="E10"/>
  <c r="E9"/>
  <c r="W21" i="21"/>
  <c r="AC21"/>
  <c r="C40" i="68"/>
  <c r="Q72" i="67"/>
  <c r="Q59"/>
  <c r="Q58"/>
  <c r="Q51"/>
  <c r="J50"/>
  <c r="M47"/>
  <c r="D46"/>
  <c r="F33"/>
  <c r="F61" s="1"/>
  <c r="F23"/>
  <c r="D24" s="1"/>
  <c r="F21"/>
  <c r="F20"/>
  <c r="M19"/>
  <c r="F18"/>
  <c r="F17"/>
  <c r="F15"/>
  <c r="D22"/>
  <c r="S2" i="4"/>
  <c r="C51" i="10" s="1"/>
  <c r="A13" i="51"/>
  <c r="B11" i="72" s="1"/>
  <c r="S1" i="4"/>
  <c r="B1"/>
  <c r="C31" i="66"/>
  <c r="C27"/>
  <c r="C32"/>
  <c r="I23"/>
  <c r="D20"/>
  <c r="I19"/>
  <c r="I18"/>
  <c r="I17"/>
  <c r="I20"/>
  <c r="E15"/>
  <c r="I14"/>
  <c r="I13"/>
  <c r="I12"/>
  <c r="I15"/>
  <c r="I9"/>
  <c r="I8"/>
  <c r="I7"/>
  <c r="I6"/>
  <c r="I5"/>
  <c r="I4"/>
  <c r="I3"/>
  <c r="I10"/>
  <c r="I21"/>
  <c r="D1" i="43"/>
  <c r="F113"/>
  <c r="N99"/>
  <c r="N108" s="1"/>
  <c r="D99"/>
  <c r="D108" s="1"/>
  <c r="E99"/>
  <c r="E108" s="1"/>
  <c r="F99"/>
  <c r="F108" s="1"/>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s="1"/>
  <c r="K56"/>
  <c r="J56" s="1"/>
  <c r="D56"/>
  <c r="M55"/>
  <c r="N55" s="1"/>
  <c r="K55"/>
  <c r="J55" s="1"/>
  <c r="D55" s="1"/>
  <c r="E48" s="1"/>
  <c r="B46" s="1"/>
  <c r="C24" s="1"/>
  <c r="M54"/>
  <c r="N54" s="1"/>
  <c r="K54"/>
  <c r="J54" s="1"/>
  <c r="D54"/>
  <c r="M53"/>
  <c r="N53" s="1"/>
  <c r="K53"/>
  <c r="J53" s="1"/>
  <c r="D53"/>
  <c r="M52"/>
  <c r="N52" s="1"/>
  <c r="K52"/>
  <c r="J52" s="1"/>
  <c r="D52"/>
  <c r="M51"/>
  <c r="N51" s="1"/>
  <c r="K51"/>
  <c r="J51" s="1"/>
  <c r="D51"/>
  <c r="M50"/>
  <c r="N50" s="1"/>
  <c r="K50"/>
  <c r="J50" s="1"/>
  <c r="D50"/>
  <c r="M49"/>
  <c r="N49" s="1"/>
  <c r="K49"/>
  <c r="J49" s="1"/>
  <c r="D49"/>
  <c r="M48"/>
  <c r="N48" s="1"/>
  <c r="K48"/>
  <c r="J48" s="1"/>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s="1"/>
  <c r="C59" s="1"/>
  <c r="H58"/>
  <c r="I58" s="1"/>
  <c r="C58" s="1"/>
  <c r="H57"/>
  <c r="I57" s="1"/>
  <c r="C57" s="1"/>
  <c r="H56"/>
  <c r="I56"/>
  <c r="C56"/>
  <c r="H55"/>
  <c r="I55" s="1"/>
  <c r="C55" s="1"/>
  <c r="H54"/>
  <c r="I54"/>
  <c r="C54" s="1"/>
  <c r="H53"/>
  <c r="I53" s="1"/>
  <c r="C53" s="1"/>
  <c r="H52"/>
  <c r="I52"/>
  <c r="C52" s="1"/>
  <c r="H65" i="39"/>
  <c r="I65"/>
  <c r="C65"/>
  <c r="H64"/>
  <c r="I64"/>
  <c r="C64" s="1"/>
  <c r="H60"/>
  <c r="I60" s="1"/>
  <c r="C60" s="1"/>
  <c r="H59"/>
  <c r="I59"/>
  <c r="C59" s="1"/>
  <c r="H58"/>
  <c r="I58" s="1"/>
  <c r="C58" s="1"/>
  <c r="H57"/>
  <c r="I57"/>
  <c r="C57" s="1"/>
  <c r="H61"/>
  <c r="I61"/>
  <c r="C61"/>
  <c r="H63"/>
  <c r="I63"/>
  <c r="C63" s="1"/>
  <c r="H62"/>
  <c r="I62" s="1"/>
  <c r="C62" s="1"/>
  <c r="C145" i="21"/>
  <c r="K139"/>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c r="L20" i="4"/>
  <c r="A5" i="62"/>
  <c r="B72" i="72"/>
  <c r="A4" i="62"/>
  <c r="B70" i="72"/>
  <c r="F33" i="9"/>
  <c r="B37" i="48"/>
  <c r="B2" i="72" s="1"/>
  <c r="B13" i="53"/>
  <c r="B29" i="72"/>
  <c r="R35" i="4"/>
  <c r="Q35"/>
  <c r="P35"/>
  <c r="O35"/>
  <c r="N35"/>
  <c r="M35"/>
  <c r="L35"/>
  <c r="K34"/>
  <c r="T34"/>
  <c r="G13" i="1"/>
  <c r="G11"/>
  <c r="I15" i="4"/>
  <c r="H15"/>
  <c r="G15"/>
  <c r="E15"/>
  <c r="D15"/>
  <c r="F7" i="1"/>
  <c r="G7" s="1"/>
  <c r="L21" i="4"/>
  <c r="F19"/>
  <c r="F2" i="52"/>
  <c r="B50" i="72"/>
  <c r="D2" i="52"/>
  <c r="B46" i="72"/>
  <c r="B8" i="53"/>
  <c r="B23" i="72"/>
  <c r="L4" i="9"/>
  <c r="B17" i="72"/>
  <c r="B15"/>
  <c r="A3" i="51"/>
  <c r="C8" i="11"/>
  <c r="B2" i="49"/>
  <c r="B7" s="1"/>
  <c r="B40" i="48"/>
  <c r="B3" i="72"/>
  <c r="I2" i="43"/>
  <c r="N1" s="1"/>
  <c r="F35" i="4"/>
  <c r="J55" i="39"/>
  <c r="H34" i="43"/>
  <c r="H35"/>
  <c r="H36"/>
  <c r="H37"/>
  <c r="H38"/>
  <c r="H39"/>
  <c r="H33"/>
  <c r="J20"/>
  <c r="C18"/>
  <c r="F15"/>
  <c r="E15"/>
  <c r="D15"/>
  <c r="C15"/>
  <c r="C10"/>
  <c r="C11" s="1"/>
  <c r="C9"/>
  <c r="A7"/>
  <c r="F33" i="15"/>
  <c r="F61"/>
  <c r="M19"/>
  <c r="BR13" i="3"/>
  <c r="M10" i="1"/>
  <c r="O10" s="1"/>
  <c r="B22"/>
  <c r="B23"/>
  <c r="B24"/>
  <c r="B43"/>
  <c r="D78" i="9" s="1"/>
  <c r="BQ13" i="3"/>
  <c r="BQ14"/>
  <c r="BQ15"/>
  <c r="BQ16"/>
  <c r="BQ17"/>
  <c r="BS13"/>
  <c r="BS14"/>
  <c r="BS15"/>
  <c r="BS16"/>
  <c r="BS17"/>
  <c r="BR14"/>
  <c r="BR15"/>
  <c r="BR16"/>
  <c r="BR17"/>
  <c r="BT13"/>
  <c r="BT14"/>
  <c r="BT15"/>
  <c r="BT16"/>
  <c r="BT17"/>
  <c r="BM14"/>
  <c r="BM15"/>
  <c r="BL15" s="1"/>
  <c r="BL5" s="1"/>
  <c r="BM16"/>
  <c r="BM17"/>
  <c r="BO13"/>
  <c r="BO14"/>
  <c r="BO15"/>
  <c r="BO16"/>
  <c r="BO17"/>
  <c r="BN13"/>
  <c r="BN14"/>
  <c r="BN15"/>
  <c r="BN16"/>
  <c r="BN17"/>
  <c r="BP13"/>
  <c r="BP14"/>
  <c r="BP15"/>
  <c r="BP16"/>
  <c r="BP17"/>
  <c r="E19" i="6"/>
  <c r="E20"/>
  <c r="E21"/>
  <c r="K8" i="1"/>
  <c r="M8" s="1"/>
  <c r="F23" i="15"/>
  <c r="D24" s="1"/>
  <c r="M13" i="1"/>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c r="H15"/>
  <c r="AC15"/>
  <c r="H16"/>
  <c r="AC16"/>
  <c r="H17"/>
  <c r="AC17"/>
  <c r="AT5"/>
  <c r="I5"/>
  <c r="AD5"/>
  <c r="AH5"/>
  <c r="AL5"/>
  <c r="AP5"/>
  <c r="F35" i="11"/>
  <c r="F36"/>
  <c r="F38"/>
  <c r="E37"/>
  <c r="F20"/>
  <c r="F21"/>
  <c r="C21"/>
  <c r="F7"/>
  <c r="C7" s="1"/>
  <c r="C5" s="1"/>
  <c r="F12" i="12"/>
  <c r="F13"/>
  <c r="F15"/>
  <c r="E14"/>
  <c r="BC11" i="3"/>
  <c r="BD11"/>
  <c r="BB11"/>
  <c r="E19" i="12"/>
  <c r="E20"/>
  <c r="E17"/>
  <c r="F22"/>
  <c r="F23"/>
  <c r="C17" i="9"/>
  <c r="D17"/>
  <c r="I55"/>
  <c r="F55"/>
  <c r="O53" s="1"/>
  <c r="D89"/>
  <c r="C89" s="1"/>
  <c r="C87" s="1"/>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s="1"/>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H103" i="9"/>
  <c r="D8" i="53"/>
  <c r="B16"/>
  <c r="B33" i="72"/>
  <c r="C7" i="37"/>
  <c r="C7" i="34"/>
  <c r="C7" i="36"/>
  <c r="W35" i="40"/>
  <c r="A118" i="9"/>
  <c r="A4" i="52"/>
  <c r="B41" i="72"/>
  <c r="J11" i="39"/>
  <c r="W11"/>
  <c r="F11"/>
  <c r="AA11"/>
  <c r="A12" i="52"/>
  <c r="B56" i="72" s="1"/>
  <c r="S11" i="39"/>
  <c r="G4" i="4"/>
  <c r="I4"/>
  <c r="K5"/>
  <c r="B47" i="48" s="1"/>
  <c r="A2" i="9"/>
  <c r="F59" i="43"/>
  <c r="H62" s="1"/>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BB5"/>
  <c r="E8" i="6" s="1"/>
  <c r="BR5" i="3"/>
  <c r="G28" i="6"/>
  <c r="AZ380" i="3"/>
  <c r="AZ384"/>
  <c r="AZ388"/>
  <c r="AZ392"/>
  <c r="AZ396"/>
  <c r="AZ394"/>
  <c r="AZ499"/>
  <c r="AZ509"/>
  <c r="G509"/>
  <c r="BL493"/>
  <c r="AZ491"/>
  <c r="AZ376"/>
  <c r="AZ390"/>
  <c r="AZ382"/>
  <c r="AZ493"/>
  <c r="U36" i="40"/>
  <c r="F36" i="43"/>
  <c r="F81"/>
  <c r="H83" s="1"/>
  <c r="H113"/>
  <c r="F70"/>
  <c r="H73" s="1"/>
  <c r="M11"/>
  <c r="D17"/>
  <c r="F39"/>
  <c r="I17"/>
  <c r="F35"/>
  <c r="J17"/>
  <c r="F6" i="1"/>
  <c r="G6" s="1"/>
  <c r="U17" i="39"/>
  <c r="S14" i="35"/>
  <c r="U43" i="21"/>
  <c r="U35"/>
  <c r="AC35"/>
  <c r="U10"/>
  <c r="G8" i="1"/>
  <c r="G9"/>
  <c r="G10"/>
  <c r="F48" i="9"/>
  <c r="O52" s="1"/>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I20" i="43"/>
  <c r="F23" i="39"/>
  <c r="AA23"/>
  <c r="H27" i="36"/>
  <c r="U27"/>
  <c r="F27"/>
  <c r="AA27"/>
  <c r="H33" i="34"/>
  <c r="U33"/>
  <c r="F32" i="37"/>
  <c r="AA32"/>
  <c r="G96"/>
  <c r="H96"/>
  <c r="I96"/>
  <c r="J96"/>
  <c r="K96"/>
  <c r="L96"/>
  <c r="M96"/>
  <c r="F20" i="36"/>
  <c r="AA20"/>
  <c r="J33" i="34"/>
  <c r="AC33"/>
  <c r="H23" i="39"/>
  <c r="U23"/>
  <c r="D48" i="9"/>
  <c r="M52"/>
  <c r="H86" i="43"/>
  <c r="K9" i="1"/>
  <c r="M9" s="1"/>
  <c r="O9" s="1"/>
  <c r="P9" s="1"/>
  <c r="AE9"/>
  <c r="D93" i="9"/>
  <c r="K6" i="1"/>
  <c r="G29" i="6"/>
  <c r="E29" s="1"/>
  <c r="AC26" i="33"/>
  <c r="W26"/>
  <c r="W27" i="34"/>
  <c r="AC27"/>
  <c r="AB34" i="36"/>
  <c r="U34"/>
  <c r="AB33"/>
  <c r="U33"/>
  <c r="AC12" i="39"/>
  <c r="W12"/>
  <c r="AC39" i="40"/>
  <c r="W39"/>
  <c r="AZ401" i="3"/>
  <c r="AZ412"/>
  <c r="AZ417"/>
  <c r="AZ428"/>
  <c r="AZ433"/>
  <c r="AZ465"/>
  <c r="AZ586"/>
  <c r="W12" i="33"/>
  <c r="AC12"/>
  <c r="AA32" i="36"/>
  <c r="S32"/>
  <c r="AZ551" i="3"/>
  <c r="AZ550"/>
  <c r="AZ408"/>
  <c r="AZ437"/>
  <c r="AZ441"/>
  <c r="AZ457"/>
  <c r="AZ473"/>
  <c r="AZ490"/>
  <c r="AA39" i="34"/>
  <c r="F28" i="6"/>
  <c r="BL14" i="3"/>
  <c r="AZ266"/>
  <c r="U30" i="33"/>
  <c r="AC13" i="34"/>
  <c r="AA47"/>
  <c r="W28" i="37"/>
  <c r="S19" i="39"/>
  <c r="F12" i="33"/>
  <c r="H12" i="39"/>
  <c r="AB12"/>
  <c r="F39" i="40"/>
  <c r="BA14" i="3"/>
  <c r="AZ14"/>
  <c r="AZ367"/>
  <c r="AZ213"/>
  <c r="AZ224"/>
  <c r="AZ234"/>
  <c r="AZ238"/>
  <c r="AZ250"/>
  <c r="AZ254"/>
  <c r="AZ281"/>
  <c r="AZ286"/>
  <c r="AZ297"/>
  <c r="AZ149"/>
  <c r="AZ157"/>
  <c r="AZ165"/>
  <c r="AZ173"/>
  <c r="AZ181"/>
  <c r="AZ189"/>
  <c r="AZ197"/>
  <c r="AZ19"/>
  <c r="AZ26"/>
  <c r="AZ35"/>
  <c r="AZ41"/>
  <c r="S12" i="1"/>
  <c r="R12"/>
  <c r="B12"/>
  <c r="E12"/>
  <c r="S10"/>
  <c r="AQ10" s="1"/>
  <c r="R10"/>
  <c r="B10"/>
  <c r="E10"/>
  <c r="D1" i="66"/>
  <c r="E10"/>
  <c r="AZ80" i="3"/>
  <c r="AZ84"/>
  <c r="AZ88"/>
  <c r="AZ107"/>
  <c r="AZ111"/>
  <c r="K12" i="1"/>
  <c r="M12" s="1"/>
  <c r="O12" s="1"/>
  <c r="S13"/>
  <c r="AR13" s="1"/>
  <c r="R13"/>
  <c r="S11"/>
  <c r="AQ11" s="1"/>
  <c r="R11"/>
  <c r="S9"/>
  <c r="AR9" s="1"/>
  <c r="R9"/>
  <c r="J51" i="67"/>
  <c r="C42" i="1"/>
  <c r="H100" i="43"/>
  <c r="C30" i="66"/>
  <c r="E26"/>
  <c r="AC34" i="33"/>
  <c r="AA34"/>
  <c r="B41" i="1"/>
  <c r="F53" i="9" s="1"/>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N8"/>
  <c r="D120" i="9"/>
  <c r="C18"/>
  <c r="D18" s="1"/>
  <c r="F34" i="67"/>
  <c r="F62"/>
  <c r="M20"/>
  <c r="F34" i="15"/>
  <c r="F62"/>
  <c r="G13" i="3"/>
  <c r="G5" s="1"/>
  <c r="B3" s="1"/>
  <c r="E120" s="1"/>
  <c r="BA13"/>
  <c r="E10" i="6"/>
  <c r="BA5" i="3"/>
  <c r="E11" i="6"/>
  <c r="E61" i="39" s="1"/>
  <c r="BL17" i="3"/>
  <c r="AZ17"/>
  <c r="BL13"/>
  <c r="G30" i="6"/>
  <c r="G31"/>
  <c r="J56" i="9"/>
  <c r="J57"/>
  <c r="A24" i="51"/>
  <c r="B18" i="72" s="1"/>
  <c r="U29" i="34"/>
  <c r="E14" i="6"/>
  <c r="E64" i="39" s="1"/>
  <c r="E5" i="6"/>
  <c r="D9" i="11" s="1"/>
  <c r="C9" s="1"/>
  <c r="P10" i="1"/>
  <c r="L101" i="43"/>
  <c r="L109" s="1"/>
  <c r="H101"/>
  <c r="H102" s="1"/>
  <c r="G22"/>
  <c r="E32" i="6"/>
  <c r="L19"/>
  <c r="G1" i="68"/>
  <c r="K1" i="12"/>
  <c r="F30" i="6"/>
  <c r="E28"/>
  <c r="AR12" i="1"/>
  <c r="AQ12"/>
  <c r="T12"/>
  <c r="AR10"/>
  <c r="E19" i="69"/>
  <c r="E19" i="68"/>
  <c r="E19" i="11"/>
  <c r="E1" i="73"/>
  <c r="G41" i="69"/>
  <c r="G22"/>
  <c r="G41" i="68"/>
  <c r="G22"/>
  <c r="G27" i="12"/>
  <c r="G26"/>
  <c r="G41" i="11"/>
  <c r="G22"/>
  <c r="G25" i="12"/>
  <c r="C100" i="43"/>
  <c r="C7"/>
  <c r="E81"/>
  <c r="B79"/>
  <c r="E70"/>
  <c r="B68"/>
  <c r="F100"/>
  <c r="H17"/>
  <c r="D9" i="53"/>
  <c r="B25" i="72"/>
  <c r="B24"/>
  <c r="H85" i="43"/>
  <c r="H84"/>
  <c r="C17"/>
  <c r="F33"/>
  <c r="K17"/>
  <c r="F34"/>
  <c r="N6"/>
  <c r="N3"/>
  <c r="F38"/>
  <c r="F37"/>
  <c r="M9"/>
  <c r="N5"/>
  <c r="M12"/>
  <c r="B19" i="53"/>
  <c r="B37" i="72"/>
  <c r="C7" i="39"/>
  <c r="C68"/>
  <c r="C7" i="35"/>
  <c r="C7" i="33"/>
  <c r="C58" s="1"/>
  <c r="D58" s="1"/>
  <c r="E58" s="1"/>
  <c r="F58" s="1"/>
  <c r="G58" s="1"/>
  <c r="H58" s="1"/>
  <c r="I58" s="1"/>
  <c r="J58" s="1"/>
  <c r="K58" s="1"/>
  <c r="L58" s="1"/>
  <c r="M58" s="1"/>
  <c r="N58" s="1"/>
  <c r="O58" s="1"/>
  <c r="C7" i="21"/>
  <c r="C58" s="1"/>
  <c r="C7" i="40"/>
  <c r="C63" s="1"/>
  <c r="C65" s="1"/>
  <c r="M47" i="9"/>
  <c r="G19" i="43"/>
  <c r="O19"/>
  <c r="T35" i="4"/>
  <c r="A19" i="51"/>
  <c r="B14" i="72" s="1"/>
  <c r="C46" i="36"/>
  <c r="D46"/>
  <c r="C59" i="34"/>
  <c r="D59"/>
  <c r="E59" s="1"/>
  <c r="F59" s="1"/>
  <c r="C52" i="37"/>
  <c r="D52"/>
  <c r="A4" i="51"/>
  <c r="B6" i="72" s="1"/>
  <c r="C48" i="35"/>
  <c r="C4" i="12"/>
  <c r="H66" i="43"/>
  <c r="H65"/>
  <c r="H64"/>
  <c r="H63"/>
  <c r="H72"/>
  <c r="L20" i="6"/>
  <c r="B6" i="1"/>
  <c r="E6"/>
  <c r="S8"/>
  <c r="AR8" s="1"/>
  <c r="K11"/>
  <c r="M11" s="1"/>
  <c r="AP6"/>
  <c r="B9"/>
  <c r="E9"/>
  <c r="K7"/>
  <c r="Q16" s="1"/>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B5" i="62" s="1"/>
  <c r="B73" i="72" s="1"/>
  <c r="C4" i="4"/>
  <c r="AQ13" i="1"/>
  <c r="AZ13" i="3"/>
  <c r="M6" i="1"/>
  <c r="O6" s="1"/>
  <c r="F30" i="11"/>
  <c r="C48" s="1"/>
  <c r="T11" i="1"/>
  <c r="AQ9"/>
  <c r="AR11"/>
  <c r="T9"/>
  <c r="T13"/>
  <c r="S7"/>
  <c r="T7" s="1"/>
  <c r="E7" i="70"/>
  <c r="AA39" i="40"/>
  <c r="S39"/>
  <c r="S12" i="33"/>
  <c r="AA12"/>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J22" i="43"/>
  <c r="K14" i="1"/>
  <c r="M14" s="1"/>
  <c r="J59" i="9"/>
  <c r="J61"/>
  <c r="H106" i="43"/>
  <c r="E140" i="3"/>
  <c r="E85"/>
  <c r="E223"/>
  <c r="E238"/>
  <c r="E197"/>
  <c r="E116"/>
  <c r="E173"/>
  <c r="E105"/>
  <c r="E286"/>
  <c r="E312"/>
  <c r="E575"/>
  <c r="AD6"/>
  <c r="E499"/>
  <c r="E542"/>
  <c r="R6"/>
  <c r="E552"/>
  <c r="E502"/>
  <c r="E421"/>
  <c r="E442"/>
  <c r="E464"/>
  <c r="E466"/>
  <c r="E487"/>
  <c r="E541"/>
  <c r="E398"/>
  <c r="E430"/>
  <c r="E416"/>
  <c r="E449"/>
  <c r="E459"/>
  <c r="E477"/>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Q8" i="1"/>
  <c r="R22" i="31"/>
  <c r="L27" i="6"/>
  <c r="AP7" i="1"/>
  <c r="M7"/>
  <c r="O7" s="1"/>
  <c r="P7" s="1"/>
  <c r="H16"/>
  <c r="AB45" i="21"/>
  <c r="AC33"/>
  <c r="W33"/>
  <c r="S33"/>
  <c r="AA33"/>
  <c r="W32"/>
  <c r="AC32"/>
  <c r="AB9"/>
  <c r="U9"/>
  <c r="AA32"/>
  <c r="S32"/>
  <c r="W9"/>
  <c r="AC9"/>
  <c r="AB32"/>
  <c r="U32"/>
  <c r="AA10"/>
  <c r="S10"/>
  <c r="E6" i="70"/>
  <c r="A18" i="62"/>
  <c r="B64" i="72"/>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AC11" i="37"/>
  <c r="W11"/>
  <c r="W11" i="34"/>
  <c r="AC11"/>
  <c r="R7" i="1"/>
  <c r="F34" i="11"/>
  <c r="C36" s="1"/>
  <c r="F11" i="12"/>
  <c r="C23" s="1"/>
  <c r="F34" i="68"/>
  <c r="R8" i="1"/>
  <c r="AE7"/>
  <c r="AE8"/>
  <c r="AG6"/>
  <c r="H109" i="9"/>
  <c r="M49"/>
  <c r="L68"/>
  <c r="M68"/>
  <c r="L65"/>
  <c r="M65"/>
  <c r="L66"/>
  <c r="M66"/>
  <c r="L64"/>
  <c r="M64"/>
  <c r="L63"/>
  <c r="M63"/>
  <c r="L67"/>
  <c r="M67"/>
  <c r="H110"/>
  <c r="D18" i="53" s="1"/>
  <c r="B35" i="72" s="1"/>
  <c r="D124" i="9"/>
  <c r="D16" i="53"/>
  <c r="B34" i="72"/>
  <c r="M69" i="9"/>
  <c r="D10" i="52"/>
  <c r="H14" i="74"/>
  <c r="D17" i="53"/>
  <c r="B36" i="72"/>
  <c r="D125" i="9"/>
  <c r="D11" i="52"/>
  <c r="N69" i="9"/>
  <c r="B7" i="74"/>
  <c r="J7" i="33"/>
  <c r="W7" s="1"/>
  <c r="F7"/>
  <c r="S7" s="1"/>
  <c r="H7"/>
  <c r="H112" i="9"/>
  <c r="D21" i="53"/>
  <c r="B39" i="72"/>
  <c r="H111" i="9"/>
  <c r="D126"/>
  <c r="D19" i="53"/>
  <c r="D59" i="9"/>
  <c r="M55"/>
  <c r="B38" i="72"/>
  <c r="D20" i="53"/>
  <c r="B40" i="72"/>
  <c r="I14" i="74"/>
  <c r="B8"/>
  <c r="D127" i="9"/>
  <c r="D13" i="52"/>
  <c r="D12"/>
  <c r="AD3" i="71"/>
  <c r="B4" i="62"/>
  <c r="B71" i="72" s="1"/>
  <c r="D63" i="40"/>
  <c r="D65" s="1"/>
  <c r="J1" i="73"/>
  <c r="AA7" i="33"/>
  <c r="R48" s="1"/>
  <c r="R49" s="1"/>
  <c r="C48" s="1"/>
  <c r="H77" i="43"/>
  <c r="H76"/>
  <c r="H67"/>
  <c r="H59"/>
  <c r="H60"/>
  <c r="H61"/>
  <c r="M4"/>
  <c r="C6" s="1"/>
  <c r="M5"/>
  <c r="N12"/>
  <c r="N11"/>
  <c r="M10"/>
  <c r="M2"/>
  <c r="M7"/>
  <c r="H70"/>
  <c r="N9"/>
  <c r="M8"/>
  <c r="N10"/>
  <c r="H74"/>
  <c r="M6"/>
  <c r="N7"/>
  <c r="N4"/>
  <c r="F48" s="1"/>
  <c r="N2"/>
  <c r="N17"/>
  <c r="L17"/>
  <c r="O17"/>
  <c r="M17"/>
  <c r="E17"/>
  <c r="E48" i="33"/>
  <c r="C70" i="39"/>
  <c r="D68"/>
  <c r="D70" s="1"/>
  <c r="AC7" i="33"/>
  <c r="V48" s="1"/>
  <c r="I48" s="1"/>
  <c r="D58" i="21"/>
  <c r="E58" s="1"/>
  <c r="C13" i="71"/>
  <c r="D13"/>
  <c r="D14"/>
  <c r="D15"/>
  <c r="U15"/>
  <c r="S15"/>
  <c r="T15"/>
  <c r="AB13"/>
  <c r="X11"/>
  <c r="X10"/>
  <c r="AA11"/>
  <c r="AA10"/>
  <c r="X14"/>
  <c r="Z9"/>
  <c r="Y10"/>
  <c r="Z10" s="1"/>
  <c r="AB11"/>
  <c r="AB10"/>
  <c r="S11"/>
  <c r="F12"/>
  <c r="F11"/>
  <c r="Y11"/>
  <c r="Z11" s="1"/>
  <c r="X3"/>
  <c r="C12"/>
  <c r="E12"/>
  <c r="E11"/>
  <c r="E10" i="49"/>
  <c r="E63" i="40"/>
  <c r="F63" s="1"/>
  <c r="F58" i="21"/>
  <c r="G58" s="1"/>
  <c r="H58"/>
  <c r="I58" s="1"/>
  <c r="J58" s="1"/>
  <c r="E68" i="39"/>
  <c r="C49" i="33"/>
  <c r="V11" i="71"/>
  <c r="C11"/>
  <c r="D12"/>
  <c r="E65" i="40"/>
  <c r="F68" i="39"/>
  <c r="E70"/>
  <c r="D9" i="71"/>
  <c r="T11"/>
  <c r="D10"/>
  <c r="D11"/>
  <c r="F65" i="40"/>
  <c r="G63"/>
  <c r="G68" i="39"/>
  <c r="G70" s="1"/>
  <c r="F70"/>
  <c r="C19" i="43"/>
  <c r="U11" i="71"/>
  <c r="G65" i="40"/>
  <c r="H63"/>
  <c r="H68" i="39"/>
  <c r="H70" s="1"/>
  <c r="H65" i="40"/>
  <c r="I63"/>
  <c r="I68" i="39"/>
  <c r="I70" s="1"/>
  <c r="I65" i="40"/>
  <c r="J63"/>
  <c r="J68" i="39"/>
  <c r="J70" s="1"/>
  <c r="K63" i="40"/>
  <c r="K65" s="1"/>
  <c r="J65"/>
  <c r="K68" i="39"/>
  <c r="K70" s="1"/>
  <c r="L63" i="40"/>
  <c r="L65" s="1"/>
  <c r="L68" i="39"/>
  <c r="L70" s="1"/>
  <c r="M63" i="40"/>
  <c r="M65" s="1"/>
  <c r="M68" i="39"/>
  <c r="M70" s="1"/>
  <c r="N63" i="40"/>
  <c r="N65" s="1"/>
  <c r="N68" i="39"/>
  <c r="O68" s="1"/>
  <c r="O70" s="1"/>
  <c r="O63" i="40"/>
  <c r="O65" s="1"/>
  <c r="E8" i="49"/>
  <c r="B4"/>
  <c r="D3" i="73"/>
  <c r="F7" i="15"/>
  <c r="F36" i="67"/>
  <c r="D2" i="36"/>
  <c r="F16" i="67"/>
  <c r="D2" i="35"/>
  <c r="E10" i="76"/>
  <c r="M8" i="67"/>
  <c r="E13" i="76"/>
  <c r="M6" i="67"/>
  <c r="F6" i="73"/>
  <c r="F38" i="15"/>
  <c r="AO10" i="1"/>
  <c r="D2" i="34"/>
  <c r="D5" i="73"/>
  <c r="B12" i="76"/>
  <c r="L48" i="67"/>
  <c r="D7" i="73"/>
  <c r="AO12" i="1"/>
  <c r="F9" i="15"/>
  <c r="AO13" i="1"/>
  <c r="D4" i="73"/>
  <c r="B11" i="76"/>
  <c r="F43" i="15"/>
  <c r="F8" i="67"/>
  <c r="F20" i="31"/>
  <c r="F13" i="15"/>
  <c r="M24"/>
  <c r="AO9" i="1"/>
  <c r="D6" i="73"/>
  <c r="M28" i="15"/>
  <c r="F6"/>
  <c r="F35"/>
  <c r="F40"/>
  <c r="M9" i="67"/>
  <c r="M24"/>
  <c r="D2" i="21"/>
  <c r="D2" i="33"/>
  <c r="E2" i="69"/>
  <c r="F41" i="15"/>
  <c r="J15"/>
  <c r="F42"/>
  <c r="F8"/>
  <c r="E12" i="76"/>
  <c r="E2" i="68"/>
  <c r="M27" i="15"/>
  <c r="M22" i="67"/>
  <c r="F26"/>
  <c r="M23" i="15"/>
  <c r="F7" i="73"/>
  <c r="F16" i="15"/>
  <c r="F26"/>
  <c r="F6" i="67"/>
  <c r="F36" i="15"/>
  <c r="M23" i="67"/>
  <c r="M6" i="15"/>
  <c r="J15" i="67"/>
  <c r="D2" i="37"/>
  <c r="F42" i="67"/>
  <c r="M26"/>
  <c r="F7"/>
  <c r="C76"/>
  <c r="F37" i="15"/>
  <c r="F9" i="67"/>
  <c r="L47"/>
  <c r="AO11" i="1"/>
  <c r="F38" i="67"/>
  <c r="M9" i="15"/>
  <c r="AO7" i="1"/>
  <c r="F13" i="67"/>
  <c r="L48" i="15"/>
  <c r="D35" i="9"/>
  <c r="B10" i="76"/>
  <c r="D34" i="9"/>
  <c r="M29" i="15"/>
  <c r="F40" i="67"/>
  <c r="E11" i="76"/>
  <c r="F5" i="73"/>
  <c r="M28" i="67"/>
  <c r="E9" i="76"/>
  <c r="F37" i="67"/>
  <c r="F3" i="73"/>
  <c r="C76" i="15"/>
  <c r="L47"/>
  <c r="M27" i="67"/>
  <c r="M8" i="15"/>
  <c r="F4" i="73"/>
  <c r="AO8" i="1"/>
  <c r="M26" i="15"/>
  <c r="M22"/>
  <c r="B13" i="76"/>
  <c r="B9"/>
  <c r="M21" i="15"/>
  <c r="M29" i="67"/>
  <c r="E6" i="49" l="1"/>
  <c r="E9"/>
  <c r="B22"/>
  <c r="C92" i="9"/>
  <c r="C94"/>
  <c r="F30" i="69"/>
  <c r="C30" s="1"/>
  <c r="F52" i="9"/>
  <c r="D68"/>
  <c r="F28" i="15"/>
  <c r="F32" i="67"/>
  <c r="F60" s="1"/>
  <c r="F28"/>
  <c r="C28" s="1"/>
  <c r="C24" i="12"/>
  <c r="C77" i="9"/>
  <c r="C74" s="1"/>
  <c r="C13" i="12"/>
  <c r="C30" i="11"/>
  <c r="F54" i="9"/>
  <c r="M18" i="15"/>
  <c r="F32"/>
  <c r="F60" s="1"/>
  <c r="M18" i="67"/>
  <c r="F31" i="12"/>
  <c r="C31" s="1"/>
  <c r="F30" i="68"/>
  <c r="C40" i="69"/>
  <c r="D23" i="67"/>
  <c r="E20" i="79"/>
  <c r="E20" i="78"/>
  <c r="K4" i="4"/>
  <c r="B46" i="48" s="1"/>
  <c r="B4" i="72" s="1"/>
  <c r="L105" i="43"/>
  <c r="AZ15" i="3"/>
  <c r="E2" i="70"/>
  <c r="E11" i="43"/>
  <c r="E9"/>
  <c r="E10"/>
  <c r="E8"/>
  <c r="H52"/>
  <c r="H55"/>
  <c r="H51"/>
  <c r="H54"/>
  <c r="H53"/>
  <c r="H56"/>
  <c r="H48"/>
  <c r="H49"/>
  <c r="H87"/>
  <c r="H71"/>
  <c r="H88"/>
  <c r="H81"/>
  <c r="H82"/>
  <c r="H75"/>
  <c r="L104"/>
  <c r="L102"/>
  <c r="L103"/>
  <c r="L107"/>
  <c r="L106"/>
  <c r="G17"/>
  <c r="C16" s="1"/>
  <c r="C5" s="1"/>
  <c r="H78"/>
  <c r="H50"/>
  <c r="D19" i="12"/>
  <c r="C19" s="1"/>
  <c r="AZ5" i="3"/>
  <c r="E3" i="6" s="1"/>
  <c r="D3" i="21" s="1"/>
  <c r="K15" i="1"/>
  <c r="K16" s="1"/>
  <c r="E30" i="6"/>
  <c r="L18" i="9"/>
  <c r="AR7" i="1"/>
  <c r="AQ7"/>
  <c r="H105" i="43"/>
  <c r="H107"/>
  <c r="E13" i="6"/>
  <c r="E15"/>
  <c r="E12"/>
  <c r="E62" i="39" s="1"/>
  <c r="E490" i="3"/>
  <c r="E465"/>
  <c r="E443"/>
  <c r="E432"/>
  <c r="E400"/>
  <c r="E414"/>
  <c r="P6"/>
  <c r="E548"/>
  <c r="E485"/>
  <c r="E478"/>
  <c r="E448"/>
  <c r="E411"/>
  <c r="AO6"/>
  <c r="E515"/>
  <c r="AG6"/>
  <c r="U6"/>
  <c r="Z6"/>
  <c r="E585"/>
  <c r="E576"/>
  <c r="E379"/>
  <c r="E327"/>
  <c r="E133"/>
  <c r="E193"/>
  <c r="E177"/>
  <c r="E224"/>
  <c r="E277"/>
  <c r="E45"/>
  <c r="E311"/>
  <c r="E358"/>
  <c r="E514"/>
  <c r="E559"/>
  <c r="E570"/>
  <c r="E551"/>
  <c r="M6"/>
  <c r="V6"/>
  <c r="AB6"/>
  <c r="E407"/>
  <c r="E387"/>
  <c r="E320"/>
  <c r="E335"/>
  <c r="E294"/>
  <c r="E215"/>
  <c r="E230"/>
  <c r="E189"/>
  <c r="E136"/>
  <c r="E191"/>
  <c r="E156"/>
  <c r="E99"/>
  <c r="E236"/>
  <c r="E188"/>
  <c r="E148"/>
  <c r="E228"/>
  <c r="E269"/>
  <c r="E181"/>
  <c r="E122"/>
  <c r="E157"/>
  <c r="E89"/>
  <c r="E149"/>
  <c r="E207"/>
  <c r="E77"/>
  <c r="E252"/>
  <c r="E212"/>
  <c r="E271"/>
  <c r="E253"/>
  <c r="E204"/>
  <c r="E167"/>
  <c r="E145"/>
  <c r="E199"/>
  <c r="E164"/>
  <c r="E141"/>
  <c r="E107"/>
  <c r="E313"/>
  <c r="E369"/>
  <c r="E330"/>
  <c r="E393"/>
  <c r="E519"/>
  <c r="E525"/>
  <c r="K6"/>
  <c r="E493"/>
  <c r="E532"/>
  <c r="E534"/>
  <c r="Q6"/>
  <c r="E564"/>
  <c r="E573"/>
  <c r="T6"/>
  <c r="E560"/>
  <c r="E543"/>
  <c r="E529"/>
  <c r="E405"/>
  <c r="E437"/>
  <c r="E427"/>
  <c r="E458"/>
  <c r="E456"/>
  <c r="E472"/>
  <c r="E486"/>
  <c r="E474"/>
  <c r="E469"/>
  <c r="E481"/>
  <c r="E507"/>
  <c r="E527"/>
  <c r="E512"/>
  <c r="E406"/>
  <c r="E422"/>
  <c r="E438"/>
  <c r="E408"/>
  <c r="E424"/>
  <c r="E440"/>
  <c r="E457"/>
  <c r="E451"/>
  <c r="E270"/>
  <c r="E390"/>
  <c r="E533"/>
  <c r="S6"/>
  <c r="AR6"/>
  <c r="E523"/>
  <c r="E561"/>
  <c r="E506"/>
  <c r="E538"/>
  <c r="E418"/>
  <c r="E439"/>
  <c r="E338"/>
  <c r="E380"/>
  <c r="E321"/>
  <c r="E231"/>
  <c r="E298"/>
  <c r="E216"/>
  <c r="E169"/>
  <c r="E130"/>
  <c r="E185"/>
  <c r="E134"/>
  <c r="E61"/>
  <c r="E254"/>
  <c r="E135"/>
  <c r="E91"/>
  <c r="E290"/>
  <c r="E221"/>
  <c r="E161"/>
  <c r="E180"/>
  <c r="E117"/>
  <c r="E57" i="40"/>
  <c r="AY6" i="3"/>
  <c r="T8" i="1"/>
  <c r="H109" i="43"/>
  <c r="H104"/>
  <c r="H103"/>
  <c r="E69" i="3"/>
  <c r="E237"/>
  <c r="E114"/>
  <c r="E261"/>
  <c r="E278"/>
  <c r="E304"/>
  <c r="E415"/>
  <c r="E528"/>
  <c r="E563"/>
  <c r="E565"/>
  <c r="E395"/>
  <c r="E183"/>
  <c r="E172"/>
  <c r="E213"/>
  <c r="E260"/>
  <c r="E361"/>
  <c r="E445"/>
  <c r="E17"/>
  <c r="E550"/>
  <c r="E503"/>
  <c r="E535"/>
  <c r="E302"/>
  <c r="E329"/>
  <c r="E347"/>
  <c r="E539"/>
  <c r="E583"/>
  <c r="E545"/>
  <c r="AA6"/>
  <c r="E567"/>
  <c r="X6"/>
  <c r="E510"/>
  <c r="E399"/>
  <c r="E461"/>
  <c r="E336"/>
  <c r="E352"/>
  <c r="E280"/>
  <c r="E227"/>
  <c r="E246"/>
  <c r="E205"/>
  <c r="E124"/>
  <c r="E165"/>
  <c r="E293"/>
  <c r="E128"/>
  <c r="E397"/>
  <c r="E353"/>
  <c r="E314"/>
  <c r="E385"/>
  <c r="E568"/>
  <c r="E495"/>
  <c r="E511"/>
  <c r="E518"/>
  <c r="I6"/>
  <c r="AN6"/>
  <c r="E16"/>
  <c r="AI6"/>
  <c r="E536"/>
  <c r="E586"/>
  <c r="AK6"/>
  <c r="E578"/>
  <c r="E549"/>
  <c r="E402"/>
  <c r="E434"/>
  <c r="E423"/>
  <c r="E453"/>
  <c r="E350"/>
  <c r="E306"/>
  <c r="E382"/>
  <c r="E368"/>
  <c r="E303"/>
  <c r="E296"/>
  <c r="E263"/>
  <c r="E244"/>
  <c r="E301"/>
  <c r="E262"/>
  <c r="E245"/>
  <c r="E196"/>
  <c r="E159"/>
  <c r="E53"/>
  <c r="E125"/>
  <c r="E175"/>
  <c r="E217"/>
  <c r="E319"/>
  <c r="E366"/>
  <c r="E530"/>
  <c r="E526"/>
  <c r="E501"/>
  <c r="E553"/>
  <c r="E343"/>
  <c r="E268"/>
  <c r="E153"/>
  <c r="E282"/>
  <c r="E305"/>
  <c r="E322"/>
  <c r="E426"/>
  <c r="N6"/>
  <c r="E508"/>
  <c r="AJ6"/>
  <c r="AC6" s="1"/>
  <c r="E328"/>
  <c r="E239"/>
  <c r="E388"/>
  <c r="E509"/>
  <c r="O6"/>
  <c r="E516"/>
  <c r="E555"/>
  <c r="E579"/>
  <c r="E574"/>
  <c r="E569"/>
  <c r="E410"/>
  <c r="E431"/>
  <c r="E359"/>
  <c r="E396"/>
  <c r="E337"/>
  <c r="E247"/>
  <c r="E285"/>
  <c r="E229"/>
  <c r="E143"/>
  <c r="E201"/>
  <c r="E97"/>
  <c r="E151"/>
  <c r="F27" i="6"/>
  <c r="F31" s="1"/>
  <c r="E56" i="39"/>
  <c r="E51" i="40"/>
  <c r="E16" i="6"/>
  <c r="E59" i="40"/>
  <c r="O11" i="1"/>
  <c r="P11" s="1"/>
  <c r="M16"/>
  <c r="O14"/>
  <c r="P14" s="1"/>
  <c r="P6"/>
  <c r="F27" i="11"/>
  <c r="F28" i="12"/>
  <c r="C29" s="1"/>
  <c r="D28" s="1"/>
  <c r="E56" i="40"/>
  <c r="O8" i="1"/>
  <c r="P8" s="1"/>
  <c r="P12"/>
  <c r="B113" i="43"/>
  <c r="G101"/>
  <c r="C101"/>
  <c r="J101"/>
  <c r="N104" i="46"/>
  <c r="H22" i="43"/>
  <c r="D101"/>
  <c r="M101"/>
  <c r="I101"/>
  <c r="E101"/>
  <c r="AJ11"/>
  <c r="AJ13" s="1"/>
  <c r="AH11"/>
  <c r="AH13" s="1"/>
  <c r="AF11"/>
  <c r="AF13" s="1"/>
  <c r="AD11"/>
  <c r="AD13" s="1"/>
  <c r="AB11"/>
  <c r="AB13" s="1"/>
  <c r="Z11"/>
  <c r="Z13" s="1"/>
  <c r="Z7"/>
  <c r="AI11"/>
  <c r="AI13" s="1"/>
  <c r="AG11"/>
  <c r="AG13" s="1"/>
  <c r="AE11"/>
  <c r="AE13" s="1"/>
  <c r="AC11"/>
  <c r="AC13" s="1"/>
  <c r="AA11"/>
  <c r="AA13" s="1"/>
  <c r="Y11"/>
  <c r="Y13" s="1"/>
  <c r="F22"/>
  <c r="K101"/>
  <c r="F101"/>
  <c r="N101"/>
  <c r="E22"/>
  <c r="T10" i="1"/>
  <c r="J7" i="40"/>
  <c r="AC7" s="1"/>
  <c r="V42" s="1"/>
  <c r="I42" s="1"/>
  <c r="I46" s="1"/>
  <c r="J46" s="1"/>
  <c r="F7"/>
  <c r="AA7" s="1"/>
  <c r="R42" s="1"/>
  <c r="E42" s="1"/>
  <c r="H7"/>
  <c r="U7" s="1"/>
  <c r="G59" i="34"/>
  <c r="H59" s="1"/>
  <c r="I59" s="1"/>
  <c r="J59" s="1"/>
  <c r="K59" s="1"/>
  <c r="L59" s="1"/>
  <c r="M59" s="1"/>
  <c r="N59" s="1"/>
  <c r="O59" s="1"/>
  <c r="F7"/>
  <c r="H7"/>
  <c r="J7"/>
  <c r="K58" i="21"/>
  <c r="L58" s="1"/>
  <c r="M58" s="1"/>
  <c r="N58" s="1"/>
  <c r="O58" s="1"/>
  <c r="J7"/>
  <c r="F7"/>
  <c r="I52" i="33"/>
  <c r="J52" s="1"/>
  <c r="I53"/>
  <c r="J53" s="1"/>
  <c r="N70" i="39"/>
  <c r="J7" s="1"/>
  <c r="W7" s="1"/>
  <c r="E52" i="33"/>
  <c r="F52" s="1"/>
  <c r="AB7"/>
  <c r="T48" s="1"/>
  <c r="G48" s="1"/>
  <c r="U7"/>
  <c r="D48" i="35"/>
  <c r="E46" i="36"/>
  <c r="H7" i="21"/>
  <c r="E52" i="37"/>
  <c r="C28" i="15"/>
  <c r="C48" i="69"/>
  <c r="G16" i="1"/>
  <c r="F10" i="39" s="1"/>
  <c r="D6" i="71"/>
  <c r="C5"/>
  <c r="D5" s="1"/>
  <c r="B6" i="49"/>
  <c r="B10"/>
  <c r="E13"/>
  <c r="B8"/>
  <c r="E14"/>
  <c r="Y7" i="71"/>
  <c r="Z7" s="1"/>
  <c r="Y6"/>
  <c r="AA7"/>
  <c r="AB3"/>
  <c r="E22" i="49"/>
  <c r="E21"/>
  <c r="B14"/>
  <c r="B9"/>
  <c r="E11"/>
  <c r="B11"/>
  <c r="E4"/>
  <c r="B13"/>
  <c r="E7"/>
  <c r="B7" i="71"/>
  <c r="B6" s="1"/>
  <c r="B5" s="1"/>
  <c r="X7"/>
  <c r="AB7"/>
  <c r="Z6"/>
  <c r="Y3"/>
  <c r="Z3" s="1"/>
  <c r="D7"/>
  <c r="F7"/>
  <c r="F6" s="1"/>
  <c r="F5" s="1"/>
  <c r="AC7" i="39"/>
  <c r="V47" s="1"/>
  <c r="I47" s="1"/>
  <c r="I51" s="1"/>
  <c r="J51" s="1"/>
  <c r="S7" i="40"/>
  <c r="AB7"/>
  <c r="T42" s="1"/>
  <c r="G42" s="1"/>
  <c r="W7"/>
  <c r="AF3" i="71"/>
  <c r="P22" i="43" s="1"/>
  <c r="C6" i="67"/>
  <c r="B10" i="70"/>
  <c r="Q71" i="15"/>
  <c r="C34"/>
  <c r="F63"/>
  <c r="C62" s="1"/>
  <c r="J53"/>
  <c r="L56" s="1"/>
  <c r="J57"/>
  <c r="J55" s="1"/>
  <c r="J58" s="1"/>
  <c r="Q50" s="1"/>
  <c r="I54"/>
  <c r="K1" i="73"/>
  <c r="B20" i="31"/>
  <c r="B21" s="1"/>
  <c r="I1" i="73"/>
  <c r="B39" i="1" s="1"/>
  <c r="F51" i="67"/>
  <c r="F65"/>
  <c r="B12" i="70"/>
  <c r="J53" i="67"/>
  <c r="J57"/>
  <c r="J55" s="1"/>
  <c r="J58" s="1"/>
  <c r="Q50" s="1"/>
  <c r="L56"/>
  <c r="I54"/>
  <c r="F69" i="15"/>
  <c r="M7"/>
  <c r="J6" s="1"/>
  <c r="F50"/>
  <c r="F51"/>
  <c r="F71"/>
  <c r="B7" i="70"/>
  <c r="C6" i="15"/>
  <c r="E20" i="43"/>
  <c r="F66" i="67"/>
  <c r="B11" i="70"/>
  <c r="L59" i="15"/>
  <c r="N59"/>
  <c r="L58"/>
  <c r="M59"/>
  <c r="B8" i="70"/>
  <c r="F66" i="15"/>
  <c r="Q71" i="67"/>
  <c r="F64" i="15"/>
  <c r="F70" i="67"/>
  <c r="C27"/>
  <c r="F71"/>
  <c r="C27" i="15"/>
  <c r="F65"/>
  <c r="B9" i="70"/>
  <c r="N59" i="67"/>
  <c r="L59"/>
  <c r="L58"/>
  <c r="M59"/>
  <c r="B13" i="70"/>
  <c r="M7" i="67"/>
  <c r="J6" s="1"/>
  <c r="F50"/>
  <c r="F68"/>
  <c r="F64"/>
  <c r="J20" i="15"/>
  <c r="F68"/>
  <c r="F31" i="67"/>
  <c r="M17" i="15"/>
  <c r="F59" i="67"/>
  <c r="F31" i="15"/>
  <c r="M17" i="67"/>
  <c r="F59" i="15"/>
  <c r="C36" i="68"/>
  <c r="C36" i="69"/>
  <c r="C16" i="15"/>
  <c r="C17" i="67"/>
  <c r="D9" i="68"/>
  <c r="C34" i="69"/>
  <c r="C34" i="68"/>
  <c r="D9" i="69"/>
  <c r="C16" i="67"/>
  <c r="C14"/>
  <c r="F27" i="68"/>
  <c r="F27" i="69"/>
  <c r="C14" i="15"/>
  <c r="C17"/>
  <c r="G1" i="73"/>
  <c r="C9" i="68" l="1"/>
  <c r="C29"/>
  <c r="D27" s="1"/>
  <c r="C34" i="11"/>
  <c r="C38" s="1"/>
  <c r="C30" i="68"/>
  <c r="C48"/>
  <c r="C35" i="69"/>
  <c r="C9"/>
  <c r="C47"/>
  <c r="D45" s="1"/>
  <c r="C29"/>
  <c r="D27" s="1"/>
  <c r="O28" i="79"/>
  <c r="M28"/>
  <c r="G20" s="1"/>
  <c r="N28"/>
  <c r="P28"/>
  <c r="O28" i="78"/>
  <c r="M28"/>
  <c r="G20" s="1"/>
  <c r="P28"/>
  <c r="N28"/>
  <c r="C47" i="68"/>
  <c r="D45" s="1"/>
  <c r="M18" i="9"/>
  <c r="B118" s="1"/>
  <c r="B14" i="74" s="1"/>
  <c r="B1" s="1"/>
  <c r="G47" i="40"/>
  <c r="H47" s="1"/>
  <c r="D22" i="43"/>
  <c r="D5"/>
  <c r="E6" i="6"/>
  <c r="D19" i="11"/>
  <c r="C19" s="1"/>
  <c r="C20" s="1"/>
  <c r="D3" i="33"/>
  <c r="B2" s="1"/>
  <c r="B3" s="1"/>
  <c r="C17" i="4"/>
  <c r="B4" i="52" s="1"/>
  <c r="B43" i="72" s="1"/>
  <c r="D3" i="37"/>
  <c r="D14" i="12"/>
  <c r="D3" i="34"/>
  <c r="D37" i="11"/>
  <c r="C37" s="1"/>
  <c r="C38" i="68"/>
  <c r="C35"/>
  <c r="E60" i="40"/>
  <c r="E65" i="39"/>
  <c r="E27" i="6"/>
  <c r="E58" i="40"/>
  <c r="E63" i="39"/>
  <c r="E66" s="1"/>
  <c r="D10" i="11"/>
  <c r="C10" s="1"/>
  <c r="R43" i="40"/>
  <c r="AY103" i="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83"/>
  <c r="AY66"/>
  <c r="AY23"/>
  <c r="AY176"/>
  <c r="AY155"/>
  <c r="AY115"/>
  <c r="AY59"/>
  <c r="AY188"/>
  <c r="AY131"/>
  <c r="AY276"/>
  <c r="AY58"/>
  <c r="AY297"/>
  <c r="AY268"/>
  <c r="AY225"/>
  <c r="AY371"/>
  <c r="AY335"/>
  <c r="AY318"/>
  <c r="AY470"/>
  <c r="AY428"/>
  <c r="AY409"/>
  <c r="AY106"/>
  <c r="AY180"/>
  <c r="AY245"/>
  <c r="AY228"/>
  <c r="AY395"/>
  <c r="AY358"/>
  <c r="AY342"/>
  <c r="AY481"/>
  <c r="AY478"/>
  <c r="AY447"/>
  <c r="AY436"/>
  <c r="AY404"/>
  <c r="AY417"/>
  <c r="AY535"/>
  <c r="AY557"/>
  <c r="AY562"/>
  <c r="AY573"/>
  <c r="AY574"/>
  <c r="AY540"/>
  <c r="BO6"/>
  <c r="AY539"/>
  <c r="AY555"/>
  <c r="AY105"/>
  <c r="AY89"/>
  <c r="AY100"/>
  <c r="AY85"/>
  <c r="AY69"/>
  <c r="AY53"/>
  <c r="AY87"/>
  <c r="AY51"/>
  <c r="AY34"/>
  <c r="AY207"/>
  <c r="AY144"/>
  <c r="AY124"/>
  <c r="AY95"/>
  <c r="AY42"/>
  <c r="AY152"/>
  <c r="AY281"/>
  <c r="AY111"/>
  <c r="AY168"/>
  <c r="AY253"/>
  <c r="AY236"/>
  <c r="AY382"/>
  <c r="AY366"/>
  <c r="AY303"/>
  <c r="AY473"/>
  <c r="AY460"/>
  <c r="AY441"/>
  <c r="AY529"/>
  <c r="AY26"/>
  <c r="AY300"/>
  <c r="AY260"/>
  <c r="AY217"/>
  <c r="AY372"/>
  <c r="AY327"/>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68"/>
  <c r="AY36"/>
  <c r="AY25"/>
  <c r="AY182"/>
  <c r="AY178"/>
  <c r="AY146"/>
  <c r="AY157"/>
  <c r="AY126"/>
  <c r="AY117"/>
  <c r="AY302"/>
  <c r="AY271"/>
  <c r="AY239"/>
  <c r="AY254"/>
  <c r="AY222"/>
  <c r="AY211"/>
  <c r="AY389"/>
  <c r="AY365"/>
  <c r="BS6"/>
  <c r="BI6"/>
  <c r="AY93"/>
  <c r="AY57"/>
  <c r="AY40"/>
  <c r="AY186"/>
  <c r="AY150"/>
  <c r="AY130"/>
  <c r="AY279"/>
  <c r="AY243"/>
  <c r="AY226"/>
  <c r="AY393"/>
  <c r="AY356"/>
  <c r="AY325"/>
  <c r="AY340"/>
  <c r="AY308"/>
  <c r="AY467"/>
  <c r="AY464"/>
  <c r="AY454"/>
  <c r="AY422"/>
  <c r="AY435"/>
  <c r="AY403"/>
  <c r="AY525"/>
  <c r="AY516"/>
  <c r="BN6"/>
  <c r="AY527"/>
  <c r="AY518"/>
  <c r="AY559"/>
  <c r="AY508"/>
  <c r="AY556"/>
  <c r="AY577"/>
  <c r="AY112"/>
  <c r="AY49"/>
  <c r="AY32"/>
  <c r="AY205"/>
  <c r="AY142"/>
  <c r="AY122"/>
  <c r="AY298"/>
  <c r="AY235"/>
  <c r="AY218"/>
  <c r="AY385"/>
  <c r="AY352"/>
  <c r="AY321"/>
  <c r="AY336"/>
  <c r="AY320"/>
  <c r="AY304"/>
  <c r="AY479"/>
  <c r="AY492"/>
  <c r="AY476"/>
  <c r="AY461"/>
  <c r="AY445"/>
  <c r="AY450"/>
  <c r="AY434"/>
  <c r="AY418"/>
  <c r="AY402"/>
  <c r="AY431"/>
  <c r="AY415"/>
  <c r="AY399"/>
  <c r="AY505"/>
  <c r="AY17"/>
  <c r="AY538"/>
  <c r="AY56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84"/>
  <c r="AY52"/>
  <c r="AY20"/>
  <c r="AY198"/>
  <c r="AY193"/>
  <c r="AY162"/>
  <c r="AY173"/>
  <c r="AY141"/>
  <c r="AY134"/>
  <c r="AY291"/>
  <c r="AY286"/>
  <c r="AY255"/>
  <c r="AY270"/>
  <c r="AY238"/>
  <c r="AY227"/>
  <c r="AY384"/>
  <c r="AY373"/>
  <c r="AY368"/>
  <c r="AY507"/>
  <c r="BB6"/>
  <c r="AY88"/>
  <c r="AY72"/>
  <c r="AY29"/>
  <c r="AY181"/>
  <c r="AY161"/>
  <c r="AY121"/>
  <c r="AY275"/>
  <c r="AY258"/>
  <c r="AY215"/>
  <c r="AY370"/>
  <c r="AY341"/>
  <c r="AY309"/>
  <c r="AY324"/>
  <c r="AY483"/>
  <c r="AY480"/>
  <c r="AY449"/>
  <c r="AY438"/>
  <c r="AY406"/>
  <c r="AY419"/>
  <c r="AY503"/>
  <c r="AY580"/>
  <c r="AY572"/>
  <c r="AY536"/>
  <c r="AY520"/>
  <c r="AY552"/>
  <c r="AY543"/>
  <c r="AY532"/>
  <c r="AY496"/>
  <c r="AY523"/>
  <c r="AY81"/>
  <c r="AY64"/>
  <c r="AY21"/>
  <c r="AY174"/>
  <c r="AY153"/>
  <c r="AY113"/>
  <c r="AY267"/>
  <c r="AY250"/>
  <c r="AY396"/>
  <c r="AY361"/>
  <c r="AY337"/>
  <c r="AY305"/>
  <c r="AY328"/>
  <c r="AY312"/>
  <c r="AY487"/>
  <c r="AY471"/>
  <c r="AY484"/>
  <c r="AY468"/>
  <c r="AY453"/>
  <c r="AY458"/>
  <c r="AY442"/>
  <c r="AY426"/>
  <c r="AY410"/>
  <c r="AY439"/>
  <c r="AY423"/>
  <c r="AY407"/>
  <c r="AY579"/>
  <c r="AY506"/>
  <c r="AY499"/>
  <c r="AY14"/>
  <c r="D3" i="6"/>
  <c r="AY524" i="3"/>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C38" i="69"/>
  <c r="H6" i="3"/>
  <c r="E6" s="1"/>
  <c r="O16" i="1"/>
  <c r="C18" i="15"/>
  <c r="C15"/>
  <c r="N102" i="43"/>
  <c r="N103"/>
  <c r="N106"/>
  <c r="N107"/>
  <c r="N105"/>
  <c r="N104"/>
  <c r="N109"/>
  <c r="K103"/>
  <c r="K107"/>
  <c r="K104"/>
  <c r="K106"/>
  <c r="K102"/>
  <c r="K105"/>
  <c r="K109"/>
  <c r="I109"/>
  <c r="I102"/>
  <c r="I106"/>
  <c r="I103"/>
  <c r="I104"/>
  <c r="I107"/>
  <c r="I105"/>
  <c r="F104"/>
  <c r="F107"/>
  <c r="F106"/>
  <c r="F103"/>
  <c r="F102"/>
  <c r="F105"/>
  <c r="F109"/>
  <c r="E104"/>
  <c r="E107"/>
  <c r="E105"/>
  <c r="E109"/>
  <c r="E102"/>
  <c r="E106"/>
  <c r="E103"/>
  <c r="M104"/>
  <c r="M107"/>
  <c r="M105"/>
  <c r="M109"/>
  <c r="M102"/>
  <c r="M106"/>
  <c r="M103"/>
  <c r="J105"/>
  <c r="J103"/>
  <c r="J106"/>
  <c r="J104"/>
  <c r="J102"/>
  <c r="J107"/>
  <c r="J109"/>
  <c r="G102"/>
  <c r="G103"/>
  <c r="G105"/>
  <c r="G104"/>
  <c r="G106"/>
  <c r="G107"/>
  <c r="G109"/>
  <c r="D109"/>
  <c r="D103"/>
  <c r="D104"/>
  <c r="D107"/>
  <c r="D105"/>
  <c r="D106"/>
  <c r="D102"/>
  <c r="C106"/>
  <c r="C105"/>
  <c r="C102"/>
  <c r="C109"/>
  <c r="C104"/>
  <c r="C107"/>
  <c r="C103"/>
  <c r="I118"/>
  <c r="J118" s="1"/>
  <c r="K118" s="1"/>
  <c r="L118" s="1"/>
  <c r="M118" s="1"/>
  <c r="D118"/>
  <c r="E118" s="1"/>
  <c r="F118" s="1"/>
  <c r="D115"/>
  <c r="E115" s="1"/>
  <c r="F115" s="1"/>
  <c r="G115" s="1"/>
  <c r="H115" s="1"/>
  <c r="B115"/>
  <c r="D117"/>
  <c r="E117" s="1"/>
  <c r="F117" s="1"/>
  <c r="G117" s="1"/>
  <c r="H117" s="1"/>
  <c r="I115"/>
  <c r="J115" s="1"/>
  <c r="K115" s="1"/>
  <c r="L115" s="1"/>
  <c r="M115" s="1"/>
  <c r="B116"/>
  <c r="C116" s="1"/>
  <c r="I117"/>
  <c r="J117" s="1"/>
  <c r="K117" s="1"/>
  <c r="L117" s="1"/>
  <c r="M117" s="1"/>
  <c r="B117"/>
  <c r="C117" s="1"/>
  <c r="D116"/>
  <c r="E116" s="1"/>
  <c r="F116" s="1"/>
  <c r="G116" s="1"/>
  <c r="H116" s="1"/>
  <c r="G118"/>
  <c r="H118" s="1"/>
  <c r="B118"/>
  <c r="C118" s="1"/>
  <c r="I116"/>
  <c r="J116" s="1"/>
  <c r="K116" s="1"/>
  <c r="L116" s="1"/>
  <c r="M116" s="1"/>
  <c r="C47" i="11"/>
  <c r="D45" s="1"/>
  <c r="C29"/>
  <c r="D27" s="1"/>
  <c r="C28"/>
  <c r="C27" s="1"/>
  <c r="P16" i="1"/>
  <c r="C11" i="12" s="1"/>
  <c r="N16" i="1"/>
  <c r="L16"/>
  <c r="U7" i="21"/>
  <c r="AB7"/>
  <c r="T48" s="1"/>
  <c r="G48" s="1"/>
  <c r="F52" i="37"/>
  <c r="E48" i="35"/>
  <c r="G52" i="33"/>
  <c r="H52" s="1"/>
  <c r="G53"/>
  <c r="H53" s="1"/>
  <c r="E53"/>
  <c r="F53" s="1"/>
  <c r="AA7" i="21"/>
  <c r="R48" s="1"/>
  <c r="S7"/>
  <c r="F7" i="39"/>
  <c r="U7" i="34"/>
  <c r="AB7"/>
  <c r="T49" s="1"/>
  <c r="G49" s="1"/>
  <c r="C35" i="11"/>
  <c r="F46" i="36"/>
  <c r="G46" s="1"/>
  <c r="H46" s="1"/>
  <c r="I46" s="1"/>
  <c r="J46" s="1"/>
  <c r="K46" s="1"/>
  <c r="L46" s="1"/>
  <c r="M46" s="1"/>
  <c r="N46" s="1"/>
  <c r="O46" s="1"/>
  <c r="F7"/>
  <c r="AC7" i="21"/>
  <c r="V48" s="1"/>
  <c r="I48" s="1"/>
  <c r="W7"/>
  <c r="H7" i="39"/>
  <c r="AC7" i="34"/>
  <c r="V49" s="1"/>
  <c r="I49" s="1"/>
  <c r="W7"/>
  <c r="AA7"/>
  <c r="R49" s="1"/>
  <c r="S7"/>
  <c r="J10" i="40"/>
  <c r="AC10" s="1"/>
  <c r="H10" i="39"/>
  <c r="AB10" s="1"/>
  <c r="F10" i="40"/>
  <c r="S10" s="1"/>
  <c r="J10" i="39"/>
  <c r="AC10" s="1"/>
  <c r="H10" i="40"/>
  <c r="AB10" s="1"/>
  <c r="U10" i="39"/>
  <c r="W10" i="40"/>
  <c r="S10" i="39"/>
  <c r="AA10"/>
  <c r="P24" i="43"/>
  <c r="B66" i="40" s="1"/>
  <c r="P21" i="43"/>
  <c r="C49" i="67"/>
  <c r="G46" i="40"/>
  <c r="H46" s="1"/>
  <c r="P25" i="43"/>
  <c r="P23"/>
  <c r="B71" i="39" s="1"/>
  <c r="M20" i="43"/>
  <c r="E46" i="40"/>
  <c r="F46" s="1"/>
  <c r="E47"/>
  <c r="F47" s="1"/>
  <c r="C43"/>
  <c r="C42"/>
  <c r="I47"/>
  <c r="J47" s="1"/>
  <c r="C49" i="15"/>
  <c r="C15" i="67"/>
  <c r="C18"/>
  <c r="B40" i="1"/>
  <c r="J18" i="15"/>
  <c r="C32" i="67"/>
  <c r="Q60"/>
  <c r="Q73"/>
  <c r="M28" i="43"/>
  <c r="G20" s="1"/>
  <c r="N28"/>
  <c r="O28"/>
  <c r="P28"/>
  <c r="M11" i="67"/>
  <c r="J10" s="1"/>
  <c r="J5" s="1"/>
  <c r="F11" i="15"/>
  <c r="M11"/>
  <c r="J10" s="1"/>
  <c r="J5" s="1"/>
  <c r="F11" i="67"/>
  <c r="F1" i="15"/>
  <c r="Q52"/>
  <c r="J18" i="67"/>
  <c r="C32" i="15"/>
  <c r="F1" i="67"/>
  <c r="Q52"/>
  <c r="Q60" i="15"/>
  <c r="Q73"/>
  <c r="Q61" i="67"/>
  <c r="Q74"/>
  <c r="Q74" i="15"/>
  <c r="Q61"/>
  <c r="AE6" i="1"/>
  <c r="D10" i="68"/>
  <c r="C10" l="1"/>
  <c r="C8" s="1"/>
  <c r="D19"/>
  <c r="E41" i="79"/>
  <c r="C41" s="1"/>
  <c r="C20"/>
  <c r="E41" i="78"/>
  <c r="C41" s="1"/>
  <c r="C20"/>
  <c r="C19" i="15"/>
  <c r="C20" s="1"/>
  <c r="C26" s="1"/>
  <c r="C7" i="74"/>
  <c r="C8"/>
  <c r="U10" i="40"/>
  <c r="AA10"/>
  <c r="S6" i="43"/>
  <c r="S4"/>
  <c r="S2"/>
  <c r="S5"/>
  <c r="C23"/>
  <c r="C21" s="1"/>
  <c r="S3"/>
  <c r="S7"/>
  <c r="E41"/>
  <c r="C41" s="1"/>
  <c r="C20"/>
  <c r="D20" i="12"/>
  <c r="C20" s="1"/>
  <c r="C18" s="1"/>
  <c r="D17"/>
  <c r="C17" s="1"/>
  <c r="C14"/>
  <c r="K26" i="6"/>
  <c r="M26" s="1"/>
  <c r="I26" s="1"/>
  <c r="S26" s="1"/>
  <c r="K21"/>
  <c r="M21" s="1"/>
  <c r="I21" s="1"/>
  <c r="S21" s="1"/>
  <c r="K23"/>
  <c r="M23" s="1"/>
  <c r="I23" s="1"/>
  <c r="S23" s="1"/>
  <c r="K22"/>
  <c r="M22" s="1"/>
  <c r="I22" s="1"/>
  <c r="S22" s="1"/>
  <c r="K19"/>
  <c r="S6" i="1" s="1"/>
  <c r="K24" i="6"/>
  <c r="M24" s="1"/>
  <c r="I24" s="1"/>
  <c r="E31"/>
  <c r="K25"/>
  <c r="M25" s="1"/>
  <c r="I25" s="1"/>
  <c r="S25" s="1"/>
  <c r="K20"/>
  <c r="M20" s="1"/>
  <c r="I20" s="1"/>
  <c r="D25"/>
  <c r="D15"/>
  <c r="D22"/>
  <c r="D21"/>
  <c r="D24"/>
  <c r="D20"/>
  <c r="D6"/>
  <c r="D9"/>
  <c r="M19" i="9"/>
  <c r="C118" s="1"/>
  <c r="C14" i="74" s="1"/>
  <c r="B2" s="1"/>
  <c r="D19" i="6"/>
  <c r="D26"/>
  <c r="C18" i="4"/>
  <c r="D8" i="6"/>
  <c r="D23"/>
  <c r="D14"/>
  <c r="D11"/>
  <c r="D13"/>
  <c r="D28"/>
  <c r="D30" s="1"/>
  <c r="E61" i="40"/>
  <c r="D12" i="6"/>
  <c r="D10"/>
  <c r="L19" i="9"/>
  <c r="D29" i="6"/>
  <c r="H25"/>
  <c r="R25" s="1"/>
  <c r="H21"/>
  <c r="H23"/>
  <c r="R23" s="1"/>
  <c r="H22"/>
  <c r="R22" s="1"/>
  <c r="H26"/>
  <c r="R26" s="1"/>
  <c r="D5"/>
  <c r="W10" i="39"/>
  <c r="C33" i="11"/>
  <c r="C39" s="1"/>
  <c r="C46" s="1"/>
  <c r="C45" s="1"/>
  <c r="F50" i="69"/>
  <c r="F50" i="11"/>
  <c r="F50" i="68"/>
  <c r="C15" i="12"/>
  <c r="C12"/>
  <c r="C115" i="43"/>
  <c r="D113" s="1"/>
  <c r="R50" i="34"/>
  <c r="E49"/>
  <c r="I53"/>
  <c r="J53" s="1"/>
  <c r="I54"/>
  <c r="J54" s="1"/>
  <c r="S7" i="36"/>
  <c r="AA7"/>
  <c r="R36" s="1"/>
  <c r="G53" i="34"/>
  <c r="H53" s="1"/>
  <c r="G54"/>
  <c r="H54" s="1"/>
  <c r="S7" i="39"/>
  <c r="AA7"/>
  <c r="R47" s="1"/>
  <c r="R49" i="21"/>
  <c r="E48"/>
  <c r="G52" i="37"/>
  <c r="U7" i="39"/>
  <c r="AB7"/>
  <c r="T47" s="1"/>
  <c r="G47" s="1"/>
  <c r="I52" i="21"/>
  <c r="J52" s="1"/>
  <c r="I53"/>
  <c r="J53" s="1"/>
  <c r="J7" i="36"/>
  <c r="F48" i="35"/>
  <c r="G48" s="1"/>
  <c r="H48" s="1"/>
  <c r="I48" s="1"/>
  <c r="J48" s="1"/>
  <c r="K48" s="1"/>
  <c r="L48" s="1"/>
  <c r="M48" s="1"/>
  <c r="N48" s="1"/>
  <c r="O48" s="1"/>
  <c r="F7"/>
  <c r="J7"/>
  <c r="G52" i="21"/>
  <c r="H52" s="1"/>
  <c r="G53"/>
  <c r="H53" s="1"/>
  <c r="H7" i="36"/>
  <c r="B55" i="40"/>
  <c r="F55" s="1"/>
  <c r="B56"/>
  <c r="F56" s="1"/>
  <c r="B58"/>
  <c r="F58" s="1"/>
  <c r="B60"/>
  <c r="F60" s="1"/>
  <c r="B54"/>
  <c r="F54" s="1"/>
  <c r="B57"/>
  <c r="F57" s="1"/>
  <c r="B53"/>
  <c r="F53" s="1"/>
  <c r="B51"/>
  <c r="F51" s="1"/>
  <c r="B59"/>
  <c r="F59" s="1"/>
  <c r="F61"/>
  <c r="B2" s="1"/>
  <c r="B3" s="1"/>
  <c r="B52"/>
  <c r="F52" s="1"/>
  <c r="C19" i="67"/>
  <c r="C20" s="1"/>
  <c r="C26" s="1"/>
  <c r="J26"/>
  <c r="J24"/>
  <c r="J24" i="15"/>
  <c r="J26"/>
  <c r="J29" s="1"/>
  <c r="C53" i="67"/>
  <c r="C48" s="1"/>
  <c r="C10"/>
  <c r="C5" s="1"/>
  <c r="C53" i="15"/>
  <c r="C48" s="1"/>
  <c r="C10"/>
  <c r="C5" s="1"/>
  <c r="F25" i="12"/>
  <c r="F22" i="69"/>
  <c r="F24" i="67"/>
  <c r="C24" s="1"/>
  <c r="F22" i="11"/>
  <c r="F22" i="68"/>
  <c r="F24" i="15"/>
  <c r="C24" s="1"/>
  <c r="D10" i="69"/>
  <c r="F41" i="67"/>
  <c r="F69" l="1"/>
  <c r="J29"/>
  <c r="C19" i="68"/>
  <c r="D37"/>
  <c r="C37" s="1"/>
  <c r="C33" s="1"/>
  <c r="C39" s="1"/>
  <c r="C46" s="1"/>
  <c r="C45" s="1"/>
  <c r="C35" i="79"/>
  <c r="C34"/>
  <c r="T15"/>
  <c r="V15" s="1"/>
  <c r="T13"/>
  <c r="V13" s="1"/>
  <c r="T9"/>
  <c r="V9" s="1"/>
  <c r="T6"/>
  <c r="V6" s="1"/>
  <c r="T3"/>
  <c r="V3" s="1"/>
  <c r="T2"/>
  <c r="V2" s="1"/>
  <c r="T11"/>
  <c r="V11" s="1"/>
  <c r="T4"/>
  <c r="V4" s="1"/>
  <c r="C37"/>
  <c r="C33"/>
  <c r="C36"/>
  <c r="C29"/>
  <c r="T14"/>
  <c r="V14" s="1"/>
  <c r="T12"/>
  <c r="V12" s="1"/>
  <c r="T8"/>
  <c r="V8" s="1"/>
  <c r="T5"/>
  <c r="V5" s="1"/>
  <c r="T7"/>
  <c r="V7" s="1"/>
  <c r="T16"/>
  <c r="V16" s="1"/>
  <c r="T10"/>
  <c r="V10" s="1"/>
  <c r="C39"/>
  <c r="C38"/>
  <c r="C29" i="78"/>
  <c r="T11"/>
  <c r="V11" s="1"/>
  <c r="T7"/>
  <c r="V7" s="1"/>
  <c r="T2"/>
  <c r="V2" s="1"/>
  <c r="T15"/>
  <c r="V15" s="1"/>
  <c r="T13"/>
  <c r="V13" s="1"/>
  <c r="T9"/>
  <c r="V9" s="1"/>
  <c r="T6"/>
  <c r="V6" s="1"/>
  <c r="C34"/>
  <c r="C37"/>
  <c r="C33"/>
  <c r="T16"/>
  <c r="V16" s="1"/>
  <c r="T10"/>
  <c r="V10" s="1"/>
  <c r="T4"/>
  <c r="V4" s="1"/>
  <c r="T5"/>
  <c r="V5" s="1"/>
  <c r="T14"/>
  <c r="V14" s="1"/>
  <c r="T12"/>
  <c r="V12" s="1"/>
  <c r="T8"/>
  <c r="V8" s="1"/>
  <c r="T3"/>
  <c r="V3" s="1"/>
  <c r="C36"/>
  <c r="C35"/>
  <c r="C38"/>
  <c r="C39"/>
  <c r="AQ6" i="1"/>
  <c r="S16"/>
  <c r="AR6"/>
  <c r="T6"/>
  <c r="T16" s="1"/>
  <c r="T11" i="43"/>
  <c r="V11" s="1"/>
  <c r="C36"/>
  <c r="C37"/>
  <c r="T4"/>
  <c r="V4" s="1"/>
  <c r="T6"/>
  <c r="V6" s="1"/>
  <c r="C29"/>
  <c r="T10"/>
  <c r="V10" s="1"/>
  <c r="C33"/>
  <c r="T13"/>
  <c r="V13" s="1"/>
  <c r="T2"/>
  <c r="V2" s="1"/>
  <c r="T3"/>
  <c r="V3" s="1"/>
  <c r="T5"/>
  <c r="V5" s="1"/>
  <c r="T14"/>
  <c r="V14" s="1"/>
  <c r="T12"/>
  <c r="V12" s="1"/>
  <c r="C35"/>
  <c r="T9"/>
  <c r="V9" s="1"/>
  <c r="T15"/>
  <c r="V15" s="1"/>
  <c r="C34"/>
  <c r="T7"/>
  <c r="V7" s="1"/>
  <c r="T8"/>
  <c r="V8" s="1"/>
  <c r="T16"/>
  <c r="V16" s="1"/>
  <c r="C39"/>
  <c r="C38"/>
  <c r="C10" i="69"/>
  <c r="C8" s="1"/>
  <c r="D19"/>
  <c r="R21" i="6"/>
  <c r="D16"/>
  <c r="S24"/>
  <c r="H24"/>
  <c r="R24" s="1"/>
  <c r="D27"/>
  <c r="S20"/>
  <c r="H20"/>
  <c r="R20" s="1"/>
  <c r="K27"/>
  <c r="M19"/>
  <c r="C16" i="12"/>
  <c r="C21" s="1"/>
  <c r="A7" i="51"/>
  <c r="B7" i="72" s="1"/>
  <c r="A10" i="51"/>
  <c r="B9" i="72" s="1"/>
  <c r="C4" i="52"/>
  <c r="B45" i="72" s="1"/>
  <c r="D31" i="6"/>
  <c r="D8" i="74"/>
  <c r="D7"/>
  <c r="AB7" i="36"/>
  <c r="T36" s="1"/>
  <c r="G36" s="1"/>
  <c r="U7"/>
  <c r="W7" i="35"/>
  <c r="AC7"/>
  <c r="V38" s="1"/>
  <c r="I38" s="1"/>
  <c r="G52" i="39"/>
  <c r="H52" s="1"/>
  <c r="G51"/>
  <c r="H51" s="1"/>
  <c r="H52" i="37"/>
  <c r="C48" i="21"/>
  <c r="C49"/>
  <c r="B2" s="1"/>
  <c r="B3" s="1"/>
  <c r="C50" i="34"/>
  <c r="B2" s="1"/>
  <c r="B3" s="1"/>
  <c r="C49"/>
  <c r="AA7" i="35"/>
  <c r="R38" s="1"/>
  <c r="S7"/>
  <c r="AC7" i="36"/>
  <c r="V36" s="1"/>
  <c r="I36" s="1"/>
  <c r="W7"/>
  <c r="E52" i="21"/>
  <c r="F52" s="1"/>
  <c r="E53"/>
  <c r="F53" s="1"/>
  <c r="E47" i="39"/>
  <c r="R48"/>
  <c r="E36" i="36"/>
  <c r="R37"/>
  <c r="E54" i="34"/>
  <c r="F54" s="1"/>
  <c r="E53"/>
  <c r="F53" s="1"/>
  <c r="H7" i="35"/>
  <c r="C43" i="68"/>
  <c r="C60" i="15"/>
  <c r="C66"/>
  <c r="C23"/>
  <c r="C29" s="1"/>
  <c r="C26" i="69"/>
  <c r="D22" s="1"/>
  <c r="C44"/>
  <c r="D41" s="1"/>
  <c r="C44" i="68"/>
  <c r="D41" s="1"/>
  <c r="C26"/>
  <c r="D22" s="1"/>
  <c r="C42"/>
  <c r="C24"/>
  <c r="C26" i="12"/>
  <c r="D25" s="1"/>
  <c r="C44" i="11"/>
  <c r="D41" s="1"/>
  <c r="C23"/>
  <c r="C24"/>
  <c r="C43"/>
  <c r="C25"/>
  <c r="C26"/>
  <c r="D22" s="1"/>
  <c r="C42"/>
  <c r="C38" i="67"/>
  <c r="C38" i="15"/>
  <c r="C66" i="67"/>
  <c r="C60"/>
  <c r="C23"/>
  <c r="C29" s="1"/>
  <c r="G39" i="79" l="1"/>
  <c r="I39" s="1"/>
  <c r="E39"/>
  <c r="E29"/>
  <c r="C30"/>
  <c r="E30" s="1"/>
  <c r="G33"/>
  <c r="I33" s="1"/>
  <c r="E33"/>
  <c r="G34"/>
  <c r="I34" s="1"/>
  <c r="E34"/>
  <c r="G38"/>
  <c r="I38" s="1"/>
  <c r="E38"/>
  <c r="G36"/>
  <c r="I36" s="1"/>
  <c r="E36"/>
  <c r="G37"/>
  <c r="I37" s="1"/>
  <c r="E37"/>
  <c r="G35"/>
  <c r="I35" s="1"/>
  <c r="E35"/>
  <c r="G38" i="78"/>
  <c r="I38" s="1"/>
  <c r="E38"/>
  <c r="G36"/>
  <c r="I36" s="1"/>
  <c r="E36"/>
  <c r="G37"/>
  <c r="I37" s="1"/>
  <c r="E37"/>
  <c r="G39"/>
  <c r="I39" s="1"/>
  <c r="E39"/>
  <c r="G35"/>
  <c r="I35" s="1"/>
  <c r="E35"/>
  <c r="G33"/>
  <c r="I33" s="1"/>
  <c r="E33"/>
  <c r="G34"/>
  <c r="I34" s="1"/>
  <c r="E34"/>
  <c r="E29"/>
  <c r="C30"/>
  <c r="E30" s="1"/>
  <c r="G39" i="43"/>
  <c r="I39" s="1"/>
  <c r="E39"/>
  <c r="G34"/>
  <c r="I34" s="1"/>
  <c r="E34"/>
  <c r="E33"/>
  <c r="G33"/>
  <c r="I33" s="1"/>
  <c r="C30"/>
  <c r="E30" s="1"/>
  <c r="E29"/>
  <c r="E36"/>
  <c r="G36"/>
  <c r="I36" s="1"/>
  <c r="E38"/>
  <c r="G38"/>
  <c r="I38" s="1"/>
  <c r="E35"/>
  <c r="G35"/>
  <c r="I35" s="1"/>
  <c r="E37"/>
  <c r="G37"/>
  <c r="I37" s="1"/>
  <c r="C19" i="69"/>
  <c r="D37"/>
  <c r="C37" s="1"/>
  <c r="C33" s="1"/>
  <c r="M27" i="6"/>
  <c r="I19"/>
  <c r="I5"/>
  <c r="I6"/>
  <c r="C22" i="12"/>
  <c r="C27" s="1"/>
  <c r="C25" s="1"/>
  <c r="C36" i="36"/>
  <c r="C37"/>
  <c r="B2" s="1"/>
  <c r="B3" s="1"/>
  <c r="C47" i="39"/>
  <c r="C48"/>
  <c r="I42" i="35"/>
  <c r="J42" s="1"/>
  <c r="U7"/>
  <c r="AB7"/>
  <c r="T38" s="1"/>
  <c r="G38" s="1"/>
  <c r="E40" i="36"/>
  <c r="F40" s="1"/>
  <c r="E41"/>
  <c r="F41" s="1"/>
  <c r="I52" i="39"/>
  <c r="J52" s="1"/>
  <c r="E51"/>
  <c r="F51" s="1"/>
  <c r="E52"/>
  <c r="F52" s="1"/>
  <c r="I40" i="36"/>
  <c r="J40" s="1"/>
  <c r="I41"/>
  <c r="J41" s="1"/>
  <c r="R39" i="35"/>
  <c r="E38"/>
  <c r="I43" s="1"/>
  <c r="J43" s="1"/>
  <c r="I52" i="37"/>
  <c r="G40" i="36"/>
  <c r="H40" s="1"/>
  <c r="G41"/>
  <c r="H41" s="1"/>
  <c r="C41" i="68"/>
  <c r="C49" s="1"/>
  <c r="C51" s="1"/>
  <c r="J14" i="15"/>
  <c r="C57"/>
  <c r="C36"/>
  <c r="C33"/>
  <c r="C31" s="1"/>
  <c r="C13"/>
  <c r="Q49"/>
  <c r="J19"/>
  <c r="J17" s="1"/>
  <c r="J59"/>
  <c r="J60" s="1"/>
  <c r="C41" i="11"/>
  <c r="C49" s="1"/>
  <c r="C51" s="1"/>
  <c r="C22"/>
  <c r="C31" s="1"/>
  <c r="C36" i="67"/>
  <c r="C33"/>
  <c r="J14"/>
  <c r="C13"/>
  <c r="J19"/>
  <c r="C57"/>
  <c r="Q49"/>
  <c r="J59"/>
  <c r="J60" s="1"/>
  <c r="C26" i="78" l="1"/>
  <c r="B2" s="1"/>
  <c r="C24" i="69"/>
  <c r="C27" i="79"/>
  <c r="C26"/>
  <c r="B2" s="1"/>
  <c r="B3" s="1"/>
  <c r="C27" i="78"/>
  <c r="C27" i="43"/>
  <c r="C26"/>
  <c r="C39" i="69"/>
  <c r="C43" s="1"/>
  <c r="C42"/>
  <c r="H19" i="6"/>
  <c r="S19"/>
  <c r="S27" s="1"/>
  <c r="I27"/>
  <c r="C30" i="12"/>
  <c r="C28" s="1"/>
  <c r="C32" s="1"/>
  <c r="B2" s="1"/>
  <c r="B3" s="1"/>
  <c r="J52" i="37"/>
  <c r="C39" i="35"/>
  <c r="B2" s="1"/>
  <c r="B3" s="1"/>
  <c r="C38"/>
  <c r="G42"/>
  <c r="H42" s="1"/>
  <c r="G43"/>
  <c r="H43" s="1"/>
  <c r="B59" i="39"/>
  <c r="F59" s="1"/>
  <c r="B58"/>
  <c r="F58" s="1"/>
  <c r="B60"/>
  <c r="F60" s="1"/>
  <c r="B65"/>
  <c r="F65" s="1"/>
  <c r="B62"/>
  <c r="F62" s="1"/>
  <c r="B56"/>
  <c r="F56" s="1"/>
  <c r="F66" s="1"/>
  <c r="B2" s="1"/>
  <c r="B3" s="1"/>
  <c r="B63"/>
  <c r="F63" s="1"/>
  <c r="B57"/>
  <c r="F57" s="1"/>
  <c r="B61"/>
  <c r="F61" s="1"/>
  <c r="B64"/>
  <c r="F64" s="1"/>
  <c r="E43" i="35"/>
  <c r="F43" s="1"/>
  <c r="E42"/>
  <c r="F42" s="1"/>
  <c r="C52" i="11"/>
  <c r="B2" s="1"/>
  <c r="B3" s="1"/>
  <c r="Q48" i="15"/>
  <c r="L46"/>
  <c r="J13" i="67"/>
  <c r="J23" s="1"/>
  <c r="J22"/>
  <c r="C61"/>
  <c r="C64"/>
  <c r="C64" i="15"/>
  <c r="C61"/>
  <c r="C59" s="1"/>
  <c r="Q48" i="67"/>
  <c r="C56"/>
  <c r="C65" s="1"/>
  <c r="C75"/>
  <c r="Q70"/>
  <c r="C37"/>
  <c r="C56" i="15"/>
  <c r="C65" s="1"/>
  <c r="Q70"/>
  <c r="C37"/>
  <c r="C30" s="1"/>
  <c r="C39" s="1"/>
  <c r="C75"/>
  <c r="J22"/>
  <c r="J13"/>
  <c r="J23" s="1"/>
  <c r="B7" i="76"/>
  <c r="E7"/>
  <c r="E6"/>
  <c r="L51" i="15"/>
  <c r="C41" i="69" l="1"/>
  <c r="B3" i="78"/>
  <c r="C56" i="11"/>
  <c r="C57" s="1"/>
  <c r="B2" i="43"/>
  <c r="C46" i="69"/>
  <c r="C45" s="1"/>
  <c r="R19" i="6"/>
  <c r="H27"/>
  <c r="K52" i="37"/>
  <c r="C58" i="15"/>
  <c r="C67" s="1"/>
  <c r="C68" s="1"/>
  <c r="C71" s="1"/>
  <c r="J16"/>
  <c r="J25" s="1"/>
  <c r="C80"/>
  <c r="C79" s="1"/>
  <c r="Q69"/>
  <c r="Q68" s="1"/>
  <c r="C40"/>
  <c r="B6" i="76"/>
  <c r="C49" i="69" l="1"/>
  <c r="R27" i="6"/>
  <c r="R6" i="1"/>
  <c r="B3" i="43"/>
  <c r="L52" i="37"/>
  <c r="Q67" i="15"/>
  <c r="L57"/>
  <c r="L60" s="1"/>
  <c r="B2"/>
  <c r="B3" s="1"/>
  <c r="Q56"/>
  <c r="Q65"/>
  <c r="C43"/>
  <c r="Q47"/>
  <c r="Q53" s="1"/>
  <c r="C83"/>
  <c r="C82" s="1"/>
  <c r="C46"/>
  <c r="F35" i="67"/>
  <c r="M21"/>
  <c r="C34" l="1"/>
  <c r="C31" s="1"/>
  <c r="C30" s="1"/>
  <c r="C39" s="1"/>
  <c r="F63"/>
  <c r="C62" s="1"/>
  <c r="C59" s="1"/>
  <c r="C58" s="1"/>
  <c r="C67" s="1"/>
  <c r="C68" s="1"/>
  <c r="J20"/>
  <c r="J17" s="1"/>
  <c r="J16" s="1"/>
  <c r="J25" s="1"/>
  <c r="R16" i="1"/>
  <c r="C51" i="69"/>
  <c r="M52" i="37"/>
  <c r="Q66" i="15"/>
  <c r="Q75" s="1"/>
  <c r="Q57"/>
  <c r="Q62" s="1"/>
  <c r="L51" i="67"/>
  <c r="Q67" l="1"/>
  <c r="L57"/>
  <c r="L60" s="1"/>
  <c r="C71"/>
  <c r="C80"/>
  <c r="C79" s="1"/>
  <c r="C40"/>
  <c r="Q69"/>
  <c r="Q68" s="1"/>
  <c r="N52" i="37"/>
  <c r="O52" s="1"/>
  <c r="J7"/>
  <c r="L46" i="67" l="1"/>
  <c r="D2" s="1"/>
  <c r="Q66"/>
  <c r="Q57"/>
  <c r="C43"/>
  <c r="Q47"/>
  <c r="Q53" s="1"/>
  <c r="Q65"/>
  <c r="Q56"/>
  <c r="C83"/>
  <c r="C82" s="1"/>
  <c r="C45"/>
  <c r="C46" s="1"/>
  <c r="AC7" i="37"/>
  <c r="V42" s="1"/>
  <c r="I42" s="1"/>
  <c r="W7"/>
  <c r="F7"/>
  <c r="H7"/>
  <c r="E8" i="76"/>
  <c r="B8"/>
  <c r="Q62" i="67" l="1"/>
  <c r="Q75"/>
  <c r="B3"/>
  <c r="F78" s="1"/>
  <c r="B2"/>
  <c r="E2" i="76"/>
  <c r="B2"/>
  <c r="C6" i="69" s="1"/>
  <c r="AB7" i="37"/>
  <c r="T42" s="1"/>
  <c r="G42" s="1"/>
  <c r="U7"/>
  <c r="AA7"/>
  <c r="R42" s="1"/>
  <c r="S7"/>
  <c r="I46"/>
  <c r="J46" s="1"/>
  <c r="F79" i="67" l="1"/>
  <c r="F80"/>
  <c r="F81"/>
  <c r="C6" i="68"/>
  <c r="C7" s="1"/>
  <c r="C5" s="1"/>
  <c r="C20" s="1"/>
  <c r="B3" i="76"/>
  <c r="E42" i="37"/>
  <c r="R43"/>
  <c r="G46"/>
  <c r="H46" s="1"/>
  <c r="G47"/>
  <c r="H47" s="1"/>
  <c r="F82" i="67" l="1"/>
  <c r="C23" i="68"/>
  <c r="C25"/>
  <c r="C28"/>
  <c r="C27" s="1"/>
  <c r="C7" i="69"/>
  <c r="C5" s="1"/>
  <c r="C42" i="37"/>
  <c r="C43"/>
  <c r="B2" s="1"/>
  <c r="B3" s="1"/>
  <c r="E47"/>
  <c r="F47" s="1"/>
  <c r="E46"/>
  <c r="F46" s="1"/>
  <c r="I47"/>
  <c r="J47" s="1"/>
  <c r="D20" i="9" l="1"/>
  <c r="D103" s="1"/>
  <c r="F83" i="67"/>
  <c r="D19" i="9" s="1"/>
  <c r="C22" i="68"/>
  <c r="C31" s="1"/>
  <c r="C52" s="1"/>
  <c r="B2" s="1"/>
  <c r="C20" i="69"/>
  <c r="C25" s="1"/>
  <c r="C23"/>
  <c r="B3" i="68"/>
  <c r="D21" i="9" l="1"/>
  <c r="D102"/>
  <c r="C57" i="68"/>
  <c r="C56" s="1"/>
  <c r="C28" i="69"/>
  <c r="C27" s="1"/>
  <c r="C22"/>
  <c r="C31" l="1"/>
  <c r="C52" s="1"/>
  <c r="B2" s="1"/>
  <c r="C19" i="9"/>
  <c r="AO6" i="1"/>
  <c r="B3" i="69"/>
  <c r="C20" i="9" s="1"/>
  <c r="B6" i="70" l="1"/>
  <c r="B2" s="1"/>
  <c r="B3" s="1"/>
  <c r="C57" i="69"/>
  <c r="C56" s="1"/>
  <c r="G19" i="9"/>
  <c r="C32" s="1"/>
  <c r="C102"/>
  <c r="D22"/>
  <c r="C21"/>
  <c r="C103"/>
  <c r="G20"/>
  <c r="G21"/>
  <c r="C35" l="1"/>
  <c r="F118" s="1"/>
  <c r="H118"/>
  <c r="C34" l="1"/>
  <c r="D118" s="1"/>
  <c r="D119" s="1"/>
  <c r="D5" i="52" s="1"/>
  <c r="B49" i="72" s="1"/>
  <c r="D14" i="74"/>
  <c r="H4" i="52"/>
  <c r="H119" i="9"/>
  <c r="H5" i="52" s="1"/>
  <c r="I118" i="9"/>
  <c r="C104"/>
  <c r="H101"/>
  <c r="G118"/>
  <c r="G4" i="52" s="1"/>
  <c r="B52" i="72" s="1"/>
  <c r="F4" i="52"/>
  <c r="B51" i="72" s="1"/>
  <c r="F119" i="9"/>
  <c r="F5" i="52" s="1"/>
  <c r="B53" i="72" s="1"/>
  <c r="D4" i="52" l="1"/>
  <c r="B47" i="72" s="1"/>
  <c r="D45" i="9"/>
  <c r="D5" i="53"/>
  <c r="H107" i="9"/>
  <c r="M48"/>
  <c r="H102"/>
  <c r="D7" i="53" s="1"/>
  <c r="B21" i="72" s="1"/>
  <c r="E118" i="9"/>
  <c r="E4" i="52" s="1"/>
  <c r="B48" i="72" s="1"/>
  <c r="I4" i="52"/>
  <c r="C105" i="9"/>
  <c r="E14" i="74"/>
  <c r="B5"/>
  <c r="F14"/>
  <c r="D5" l="1"/>
  <c r="C5"/>
  <c r="B20" i="72"/>
  <c r="D6" i="53"/>
  <c r="B22" i="72" s="1"/>
  <c r="H108" i="9"/>
  <c r="D15" i="53" s="1"/>
  <c r="B31" i="72" s="1"/>
  <c r="D122" i="9"/>
  <c r="D13" i="53"/>
  <c r="C85" i="9"/>
  <c r="D55"/>
  <c r="M53" s="1"/>
  <c r="D52"/>
  <c r="C93"/>
  <c r="C86" s="1"/>
  <c r="C72"/>
  <c r="D53"/>
  <c r="C78"/>
  <c r="C73" s="1"/>
  <c r="C64"/>
  <c r="C63" s="1"/>
  <c r="C67" s="1"/>
  <c r="C68" s="1"/>
  <c r="D54" s="1"/>
  <c r="C79" l="1"/>
  <c r="C95"/>
  <c r="D8" i="52"/>
  <c r="G14" i="74"/>
  <c r="B6" s="1"/>
  <c r="D123" i="9"/>
  <c r="D9" i="52" s="1"/>
  <c r="D14" i="53"/>
  <c r="B32" i="72" s="1"/>
  <c r="B30"/>
  <c r="C6" i="74" l="1"/>
  <c r="D6"/>
  <c r="C96" i="9"/>
  <c r="E96" s="1"/>
  <c r="E97" s="1"/>
  <c r="C80"/>
  <c r="E80" s="1"/>
  <c r="E81" s="1"/>
  <c r="C81" l="1"/>
  <c r="C97"/>
  <c r="D58" s="1"/>
  <c r="D56" s="1"/>
  <c r="M54" s="1"/>
  <c r="N57" s="1"/>
  <c r="N59" s="1"/>
  <c r="P57" l="1"/>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<sst xmlns="http://schemas.openxmlformats.org/spreadsheetml/2006/main" count="7960" uniqueCount="3110">
  <si>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</si>
  <si>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</si>
  <si>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</si>
  <si>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</si>
  <si>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</si>
  <si>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</si>
  <si>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</si>
  <si>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</si>
  <si>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</si>
  <si>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</si>
  <si>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</si>
  <si>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</si>
  <si>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</si>
  <si>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</si>
  <si>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</si>
  <si>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</si>
  <si>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</si>
  <si>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</si>
  <si>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</si>
  <si>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</si>
  <si>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</si>
  <si>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</si>
  <si>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</si>
  <si>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</si>
  <si>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</si>
  <si>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</si>
  <si>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</si>
  <si>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</si>
  <si>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</si>
  <si>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</si>
  <si>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</si>
  <si>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</si>
  <si>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</si>
  <si>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</si>
  <si>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</si>
  <si>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</si>
  <si>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</si>
  <si>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</si>
  <si>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</si>
  <si>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</si>
  <si>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</si>
  <si>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</si>
  <si>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</si>
  <si>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</si>
  <si>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</si>
  <si>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</si>
  <si>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</si>
  <si>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</si>
  <si>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</si>
  <si>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</si>
  <si>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</si>
  <si>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</si>
  <si>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</si>
  <si>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</si>
  <si>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</si>
  <si>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</si>
  <si>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</si>
  <si>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</si>
  <si>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</si>
  <si>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</si>
  <si>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</si>
  <si>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</si>
  <si>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</si>
  <si>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</si>
  <si>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</si>
  <si>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</si>
  <si>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</si>
  <si>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</si>
  <si>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</si>
  <si>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</si>
  <si>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</si>
  <si>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</si>
  <si>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</si>
  <si>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</si>
  <si>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</si>
  <si>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</si>
  <si>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</si>
  <si>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</si>
  <si>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</si>
  <si>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</si>
  <si>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</si>
  <si>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</si>
  <si>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</si>
  <si>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</si>
  <si>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</si>
  <si>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</si>
  <si>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</si>
  <si>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</si>
  <si>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</si>
  <si>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</si>
  <si>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</si>
  <si>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</si>
  <si>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</si>
  <si>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</si>
  <si>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</si>
  <si>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</si>
  <si>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</si>
  <si>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</si>
  <si>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</si>
  <si>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</si>
  <si>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</si>
  <si>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</si>
  <si>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</si>
  <si>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</si>
  <si>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</si>
  <si>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</si>
  <si>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</si>
  <si>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</si>
  <si>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</si>
  <si>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</si>
  <si>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</si>
  <si>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</si>
  <si>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</si>
  <si>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</si>
  <si>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</si>
  <si>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</si>
  <si>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</si>
  <si>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</si>
  <si>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</si>
  <si>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</si>
  <si>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</si>
  <si>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</si>
  <si>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</si>
  <si>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</si>
  <si>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</si>
  <si>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</si>
  <si>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</si>
  <si>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</si>
  <si>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</si>
  <si>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</si>
  <si>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</si>
  <si>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</si>
  <si>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</si>
  <si>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</si>
  <si>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</si>
  <si>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</si>
  <si>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</si>
  <si>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</si>
  <si>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</si>
  <si>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</si>
  <si>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</si>
  <si>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</si>
  <si>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</si>
  <si>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</si>
  <si>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</si>
  <si>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</si>
  <si>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</si>
  <si>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</si>
  <si>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</si>
  <si>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</si>
  <si>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</si>
  <si>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</si>
  <si>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</si>
  <si>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</si>
  <si>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</si>
  <si>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</si>
  <si>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</si>
  <si>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</si>
  <si>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</si>
  <si>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</si>
  <si>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</si>
  <si>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</si>
  <si>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</si>
  <si>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</si>
  <si>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</si>
  <si>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</si>
  <si>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</si>
  <si>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</si>
  <si>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</si>
  <si>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</si>
  <si>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</si>
  <si>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</si>
  <si>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</si>
  <si>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</si>
  <si>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</si>
  <si>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</si>
  <si>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</si>
  <si>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</si>
  <si>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</si>
  <si>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</si>
  <si>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</si>
  <si>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</si>
  <si>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</si>
  <si>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</si>
  <si>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</si>
  <si>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</si>
  <si>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</si>
  <si>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</si>
  <si>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</si>
  <si>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</si>
  <si>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</si>
  <si>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</si>
  <si>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</si>
  <si>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</si>
  <si>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</si>
  <si>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</si>
  <si>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</si>
  <si>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</si>
  <si>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</si>
  <si>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</si>
  <si>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</si>
  <si>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</si>
  <si>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</si>
  <si>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</si>
  <si>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</si>
  <si>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</si>
  <si>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</si>
  <si>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</si>
  <si>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</si>
  <si>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</si>
  <si>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</si>
  <si>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</si>
  <si>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</si>
  <si>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</si>
  <si>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</si>
  <si>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</si>
  <si>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</si>
  <si>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</si>
  <si>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</si>
  <si>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</si>
  <si>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</si>
  <si>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</si>
  <si>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</si>
  <si>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</si>
  <si>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</si>
  <si>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</si>
  <si>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</si>
  <si>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</si>
  <si>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</si>
  <si>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</si>
  <si>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</si>
  <si>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</si>
  <si>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</si>
  <si>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</si>
  <si>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</si>
  <si>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</si>
  <si>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</si>
  <si>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</si>
  <si>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</si>
  <si>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</si>
  <si>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</si>
  <si>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</si>
  <si>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</si>
  <si>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</si>
  <si>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</si>
  <si>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</si>
  <si>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</si>
  <si>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</si>
  <si>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</si>
  <si>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</si>
  <si>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</si>
  <si>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</si>
  <si>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</si>
  <si>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</si>
  <si>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</si>
  <si>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</si>
  <si>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</si>
  <si>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</si>
  <si>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</si>
  <si>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</si>
  <si>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</si>
  <si>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</si>
  <si>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</si>
  <si>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</si>
  <si>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</si>
  <si>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</si>
  <si>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</si>
  <si>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</si>
  <si>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</si>
  <si>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</si>
  <si>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</si>
  <si>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</si>
  <si>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</si>
  <si>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</si>
  <si>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</si>
  <si>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</si>
  <si>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</si>
  <si>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</si>
  <si>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</si>
  <si>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</si>
  <si>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</si>
  <si>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</si>
  <si>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</si>
  <si>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</si>
  <si>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</si>
  <si>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</si>
  <si>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</si>
  <si>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</si>
  <si>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</si>
  <si>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</si>
  <si>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</si>
  <si>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</si>
  <si>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</si>
  <si>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</si>
  <si>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</si>
  <si>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</si>
  <si>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</si>
  <si>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</si>
  <si>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</si>
  <si>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</si>
  <si>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</si>
  <si>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</si>
  <si>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</si>
  <si>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</si>
  <si>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</si>
  <si>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</si>
  <si>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</si>
  <si>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</si>
  <si>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</si>
  <si>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</si>
  <si>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</si>
  <si>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</si>
  <si>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</si>
  <si>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</si>
  <si>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</si>
  <si>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</si>
  <si>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</si>
  <si>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</si>
  <si>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</si>
  <si>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</si>
  <si>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</si>
  <si>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</si>
  <si>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</si>
  <si>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</si>
  <si>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</si>
  <si>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</si>
  <si>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</si>
  <si>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</si>
  <si>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</si>
  <si>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</si>
  <si>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</si>
  <si>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</si>
  <si>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</si>
  <si>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</si>
  <si>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</si>
  <si>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</si>
  <si>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</si>
  <si>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</si>
  <si>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</si>
  <si>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</si>
  <si>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</si>
  <si>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</si>
  <si>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</si>
  <si>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</si>
  <si>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</si>
  <si>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</si>
  <si>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</si>
  <si>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</si>
  <si>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</si>
  <si>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</si>
  <si>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</si>
  <si>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</si>
  <si>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</si>
  <si>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</si>
  <si>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</si>
  <si>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</si>
  <si>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</si>
  <si>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</si>
  <si>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</si>
  <si>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</si>
  <si>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</si>
  <si>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</si>
  <si>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</si>
  <si>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</si>
  <si>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</si>
  <si>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</si>
  <si>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</si>
  <si>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</si>
  <si>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</si>
  <si>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</si>
  <si>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</si>
  <si>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</si>
  <si>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</si>
  <si>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</si>
  <si>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</si>
  <si>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</si>
  <si>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</si>
  <si>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</si>
  <si>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</si>
  <si>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</si>
  <si>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</si>
  <si>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</si>
  <si>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</si>
  <si>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</si>
  <si>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</si>
  <si>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</si>
  <si>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</si>
  <si>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</si>
  <si>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</si>
  <si>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</si>
  <si>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</si>
  <si>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</si>
  <si>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</si>
  <si>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</si>
  <si>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</si>
  <si>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</si>
  <si>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</si>
  <si>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</si>
  <si>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</si>
  <si>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</si>
  <si>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</si>
  <si>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</si>
  <si>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</si>
  <si>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</si>
  <si>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</si>
  <si>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</si>
  <si>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</si>
  <si>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</si>
  <si>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</si>
  <si>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</si>
  <si>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</si>
  <si>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</si>
  <si>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</si>
  <si>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</si>
  <si>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</si>
  <si>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</si>
  <si>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</si>
  <si>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</si>
  <si>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</si>
  <si>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</si>
  <si>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</si>
  <si>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</si>
  <si>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</si>
  <si>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</si>
  <si>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</si>
  <si>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</si>
  <si>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</si>
  <si>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</si>
  <si>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</si>
  <si>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</si>
  <si>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</si>
  <si>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</si>
  <si>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</si>
  <si>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</si>
  <si>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</si>
  <si>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</si>
  <si>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</si>
  <si>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</si>
  <si>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</si>
  <si>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</si>
  <si>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</si>
  <si>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</si>
  <si>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</si>
  <si>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</si>
  <si>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</si>
  <si>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</si>
  <si>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</si>
  <si>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</si>
  <si>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</si>
  <si>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</si>
  <si>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</si>
  <si>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</si>
  <si>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</si>
  <si>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</si>
  <si>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</si>
  <si>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</si>
  <si>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</si>
  <si>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</si>
  <si>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</si>
  <si>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</si>
  <si>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</si>
  <si>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</si>
  <si>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</si>
  <si>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</si>
  <si>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</si>
  <si>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</si>
  <si>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</si>
  <si>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</si>
  <si>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</si>
  <si>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</si>
  <si>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</si>
  <si>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</si>
  <si>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</si>
  <si>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</si>
  <si>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</si>
  <si>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</si>
  <si>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</si>
  <si>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</si>
  <si>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</si>
  <si>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</si>
  <si>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</si>
  <si>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</si>
  <si>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</si>
  <si>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</si>
  <si>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</si>
  <si>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</si>
  <si>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</si>
  <si>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</si>
  <si>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</si>
  <si>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</si>
  <si>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</si>
  <si>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</si>
  <si>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</si>
  <si>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</si>
  <si>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</si>
  <si>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</si>
  <si>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</si>
  <si>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</si>
  <si>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</si>
  <si>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</si>
  <si>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</si>
  <si>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</si>
  <si>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</si>
  <si>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</si>
  <si>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</si>
  <si>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</si>
  <si>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</si>
  <si>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</si>
  <si>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</si>
  <si>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</si>
  <si>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</si>
  <si>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</si>
  <si>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</si>
  <si>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</si>
  <si>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</si>
  <si>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</si>
  <si>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</si>
  <si>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</si>
  <si>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</si>
  <si>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</si>
  <si>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</si>
  <si>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</si>
  <si>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</si>
  <si>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</si>
  <si>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</si>
  <si>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</si>
  <si>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</si>
  <si>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</si>
  <si>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</si>
  <si>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</si>
  <si>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</si>
  <si>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</si>
  <si>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</si>
  <si>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</si>
  <si>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</si>
  <si>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</si>
  <si>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</si>
  <si>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</si>
  <si>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</si>
  <si>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</si>
  <si>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</si>
  <si>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</si>
  <si>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</si>
  <si>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</si>
  <si>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</si>
  <si>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</si>
  <si>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</si>
  <si>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</si>
  <si>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</si>
  <si>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</si>
  <si>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</si>
  <si>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</si>
  <si>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</si>
  <si>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</si>
  <si>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</si>
  <si>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</si>
  <si>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</si>
  <si>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</si>
  <si>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</si>
  <si>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</si>
  <si>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</si>
  <si>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</si>
  <si>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</si>
  <si>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</si>
  <si>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</si>
  <si>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</si>
  <si>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</si>
  <si>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</si>
  <si>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</si>
  <si>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</si>
  <si>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</si>
  <si>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</si>
  <si>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</si>
  <si>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</si>
  <si>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</si>
  <si>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</si>
  <si>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</si>
  <si>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</si>
  <si>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</si>
  <si>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</si>
  <si>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</si>
  <si>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</si>
  <si>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</si>
  <si>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</si>
  <si>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</si>
  <si>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</si>
  <si>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</si>
  <si>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</si>
  <si>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</si>
  <si>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</si>
  <si>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</si>
  <si>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</si>
  <si>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</si>
  <si>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</si>
  <si>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</si>
  <si>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</si>
  <si>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</si>
  <si>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</si>
  <si>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</si>
  <si>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</si>
  <si>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</si>
  <si>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</si>
  <si>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</si>
  <si>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</si>
  <si>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</si>
  <si>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</si>
  <si>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</si>
  <si>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</si>
  <si>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</si>
  <si>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</si>
  <si>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</si>
  <si>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</si>
  <si>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</si>
  <si>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</si>
  <si>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</si>
  <si>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</si>
  <si>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</si>
  <si>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</si>
  <si>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</si>
  <si>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</si>
  <si>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</si>
  <si>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</si>
  <si>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</si>
  <si>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</si>
  <si>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</si>
  <si>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</si>
  <si>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</si>
  <si>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</si>
  <si>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</si>
  <si>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</si>
  <si>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</si>
  <si>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</si>
  <si>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</si>
  <si>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</si>
  <si>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</si>
  <si>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</si>
  <si>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</si>
  <si>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</si>
  <si>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</si>
  <si>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</si>
  <si>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</si>
  <si>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</si>
  <si>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</si>
  <si>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</si>
  <si>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</si>
  <si>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</si>
  <si>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</si>
  <si>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</si>
  <si>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</si>
  <si>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</si>
  <si>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</si>
  <si>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</si>
  <si>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</si>
  <si>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</si>
  <si>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</si>
  <si>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</si>
  <si>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</si>
  <si>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</si>
  <si>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</si>
  <si>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</si>
  <si>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</si>
  <si>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</si>
  <si>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</si>
  <si>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</si>
  <si>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</si>
  <si>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</si>
  <si>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</si>
  <si>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</si>
  <si>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</si>
  <si>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</si>
  <si>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</si>
  <si>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</si>
  <si>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</si>
  <si>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</si>
  <si>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</si>
  <si>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</si>
  <si>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</si>
  <si>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</si>
  <si>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</si>
  <si>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</si>
  <si>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</si>
  <si>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</si>
  <si>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</si>
  <si>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</si>
  <si>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</si>
  <si>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</si>
  <si>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</si>
  <si>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</si>
  <si>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</si>
  <si>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</si>
  <si>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</si>
  <si>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</si>
  <si>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</si>
  <si>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</si>
  <si>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</si>
  <si>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</si>
  <si>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</si>
  <si>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</si>
  <si>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</si>
  <si>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</si>
  <si>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</si>
  <si>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</si>
  <si>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</si>
  <si>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</si>
  <si>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</si>
  <si>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</si>
  <si>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</si>
  <si>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</si>
  <si>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</si>
  <si>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</si>
  <si>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</si>
  <si>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</si>
  <si>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</si>
  <si>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</si>
  <si>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</si>
  <si>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</si>
  <si>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</si>
  <si>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</si>
  <si>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</si>
  <si>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</si>
  <si>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</si>
  <si>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</si>
  <si>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</si>
  <si>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</si>
  <si>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</si>
  <si>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</si>
  <si>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</si>
  <si>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</si>
  <si>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</si>
  <si>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</si>
  <si>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</si>
  <si>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</si>
  <si>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</si>
  <si>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</si>
  <si>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</si>
  <si>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</si>
  <si>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</si>
  <si>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</si>
  <si>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</si>
  <si>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</si>
  <si>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</si>
  <si>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</si>
  <si>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</si>
  <si>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</si>
  <si>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</si>
  <si>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</si>
  <si>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</si>
  <si>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</si>
  <si>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</si>
  <si>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</si>
  <si>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</si>
  <si>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</si>
  <si>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</si>
  <si>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</si>
  <si>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</si>
  <si>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</si>
  <si>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</si>
  <si>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</si>
  <si>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</si>
  <si>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</si>
  <si>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</si>
  <si>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</si>
  <si>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</si>
  <si>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</si>
  <si>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</si>
  <si>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</si>
  <si>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</si>
  <si>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</si>
  <si>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</si>
  <si>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</si>
  <si>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</si>
  <si>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</si>
  <si>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</si>
  <si>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</si>
  <si>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</si>
  <si>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</si>
  <si>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</si>
  <si>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</si>
  <si>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</si>
  <si>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</si>
  <si>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</si>
  <si>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</si>
  <si>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</si>
  <si>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</si>
  <si>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</si>
  <si>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</si>
  <si>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</si>
  <si>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</si>
  <si>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</si>
  <si>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</si>
  <si>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</si>
  <si>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</si>
  <si>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</si>
  <si>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</si>
  <si>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</si>
  <si>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</si>
  <si>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</si>
  <si>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</si>
  <si>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</si>
  <si>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</si>
  <si>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</si>
  <si>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</si>
  <si>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</si>
  <si>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</si>
  <si>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</si>
  <si>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</si>
  <si>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</si>
  <si>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</si>
  <si>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</si>
  <si>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</si>
  <si>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</si>
  <si>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</si>
  <si>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</si>
  <si>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</si>
  <si>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</si>
  <si>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</si>
  <si>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</si>
  <si>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</si>
  <si>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</si>
  <si>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</si>
  <si>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</si>
  <si>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</si>
  <si>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</si>
  <si>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</si>
  <si>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</si>
  <si>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</si>
  <si>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</si>
  <si>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</si>
  <si>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</si>
  <si>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</si>
  <si>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</si>
  <si>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</si>
  <si>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</si>
  <si>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</si>
  <si>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</si>
  <si>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</si>
  <si>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</si>
  <si>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</si>
  <si>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</si>
  <si>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</si>
  <si>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</si>
  <si>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</si>
  <si>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</si>
  <si>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</si>
  <si>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</si>
  <si>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</si>
  <si>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</si>
  <si>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</si>
  <si>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</si>
  <si>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</si>
  <si>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</si>
  <si>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</si>
  <si>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</si>
  <si>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</si>
  <si>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</si>
  <si>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</si>
  <si>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</si>
  <si>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</si>
  <si>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</si>
  <si>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</si>
  <si>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</si>
  <si>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</si>
  <si>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</si>
  <si>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</si>
  <si>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</si>
  <si>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</si>
  <si>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</si>
  <si>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</si>
  <si>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</si>
  <si>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</si>
  <si>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</si>
  <si>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</si>
  <si>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</si>
  <si>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</si>
  <si>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</si>
  <si>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</si>
  <si>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</si>
  <si>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</si>
  <si>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</si>
  <si>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</si>
  <si>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</si>
  <si>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</si>
  <si>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</si>
  <si>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</si>
  <si>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</si>
  <si>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</si>
  <si>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</si>
  <si>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</si>
  <si>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</si>
  <si>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</si>
  <si>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</si>
  <si>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</si>
  <si>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</si>
  <si>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</si>
  <si>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</si>
  <si>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</si>
  <si>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</si>
  <si>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</si>
  <si>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</si>
  <si>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</si>
  <si>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</si>
  <si>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</si>
  <si>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</si>
  <si>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</si>
  <si>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</si>
  <si>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</si>
  <si>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</si>
  <si>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</si>
  <si>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</si>
  <si>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</si>
  <si>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</si>
  <si>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</si>
  <si>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</si>
  <si>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</si>
  <si>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</si>
  <si>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</si>
  <si>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</si>
  <si>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</si>
  <si>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</si>
  <si>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</si>
  <si>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</si>
  <si>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</si>
  <si>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</si>
  <si>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</si>
  <si>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</si>
  <si>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</si>
  <si>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</si>
  <si>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</si>
  <si>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</si>
  <si>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</si>
  <si>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</si>
  <si>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</si>
  <si>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</si>
  <si>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</si>
  <si>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</si>
  <si>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</si>
  <si>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</si>
  <si>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</si>
  <si>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</si>
  <si>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</si>
  <si>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</si>
  <si>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</si>
  <si>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</si>
  <si>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</si>
  <si>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</si>
  <si>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</si>
  <si>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</si>
  <si>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</si>
  <si>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</si>
  <si>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</si>
  <si>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</si>
  <si>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</si>
  <si>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</si>
  <si>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</si>
  <si>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</si>
  <si>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</si>
  <si>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</si>
  <si>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</si>
  <si>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</si>
  <si>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</si>
  <si>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</si>
  <si>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</si>
  <si>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</si>
  <si>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</si>
  <si>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</si>
  <si>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</si>
  <si>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</si>
  <si>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</si>
  <si>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</si>
  <si>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</si>
  <si>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</si>
  <si>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</si>
  <si>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</si>
  <si>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</si>
  <si>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</si>
  <si>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</si>
  <si>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</si>
  <si>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</si>
  <si>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</si>
  <si>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</si>
  <si>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</si>
  <si>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</si>
  <si>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</si>
  <si>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</si>
  <si>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</si>
  <si>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</si>
  <si>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</si>
  <si>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</si>
  <si>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</si>
  <si>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</si>
  <si>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</si>
  <si>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</si>
  <si>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</si>
  <si>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</si>
  <si>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</si>
  <si>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</si>
  <si>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</si>
  <si>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</si>
  <si>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</si>
  <si>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</si>
  <si>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</si>
  <si>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</si>
  <si>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</si>
  <si>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</si>
  <si>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</si>
  <si>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</si>
  <si>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</si>
  <si>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</si>
  <si>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</si>
  <si>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</si>
  <si>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</si>
  <si>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</si>
  <si>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</si>
  <si>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</si>
  <si>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</si>
  <si>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</si>
  <si>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</si>
  <si>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</si>
  <si>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</si>
  <si>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</si>
  <si>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</si>
  <si>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</si>
  <si>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</si>
  <si>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</si>
  <si>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</si>
  <si>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</si>
  <si>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</si>
  <si>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</si>
  <si>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</si>
  <si>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</si>
  <si>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</si>
  <si>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</si>
  <si>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</si>
  <si>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</si>
  <si>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</si>
  <si>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</si>
  <si>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</si>
  <si>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</si>
  <si>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</si>
  <si>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</si>
  <si>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</si>
  <si>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</si>
  <si>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</si>
  <si>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</si>
  <si>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</si>
  <si>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</si>
  <si>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</si>
  <si>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</si>
  <si>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</si>
  <si>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</si>
  <si>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</si>
  <si>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</si>
  <si>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</si>
  <si>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</si>
  <si>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</si>
  <si>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</si>
  <si>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</si>
  <si>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</si>
  <si>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</si>
  <si>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</si>
  <si>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</si>
  <si>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</si>
  <si>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</si>
  <si>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</si>
  <si>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</si>
  <si>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</si>
  <si>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</si>
  <si>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</si>
  <si>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</si>
  <si>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</si>
  <si>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</si>
  <si>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</si>
  <si>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</si>
  <si>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</si>
  <si>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</si>
  <si>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</si>
  <si>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</si>
  <si>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</si>
  <si>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</si>
  <si>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</si>
  <si>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</si>
  <si>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</si>
  <si>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</si>
  <si>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</si>
  <si>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</si>
  <si>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</si>
  <si>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</si>
  <si>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</si>
  <si>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</si>
  <si>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</si>
  <si>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</si>
  <si>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</si>
  <si>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</si>
  <si>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</si>
  <si>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</si>
  <si>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</si>
  <si>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</si>
  <si>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</si>
  <si>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</si>
  <si>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</si>
  <si>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</si>
  <si>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</si>
  <si>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</si>
  <si>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</si>
  <si>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</si>
  <si>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</si>
  <si>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</si>
  <si>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</si>
  <si>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</si>
  <si>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</si>
  <si>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</si>
  <si>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</si>
  <si>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</si>
  <si>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</si>
  <si>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</si>
  <si>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</si>
  <si>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</si>
  <si>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</si>
  <si>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</si>
  <si>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</si>
  <si>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</si>
  <si>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</si>
  <si>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</si>
  <si>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</si>
  <si>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</si>
  <si>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</si>
  <si>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</si>
  <si>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</si>
  <si>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</si>
  <si>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</si>
  <si>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</si>
  <si>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</si>
  <si>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</si>
  <si>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</si>
  <si>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</si>
  <si>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</si>
  <si>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</si>
  <si>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</si>
  <si>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</si>
  <si>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</si>
  <si>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</si>
  <si>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</si>
  <si>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</si>
  <si>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</si>
  <si>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</si>
  <si>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</si>
  <si>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</si>
  <si>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</si>
  <si>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</si>
  <si>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</si>
  <si>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</si>
  <si>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</si>
  <si>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</si>
  <si>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</si>
  <si>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</si>
  <si>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</si>
  <si>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</si>
  <si>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</si>
  <si>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</si>
  <si>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</si>
  <si>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</si>
  <si>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</si>
  <si>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</si>
  <si>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</si>
  <si>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</si>
  <si>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</si>
  <si>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</si>
  <si>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</si>
  <si>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</si>
  <si>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</si>
  <si>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</si>
  <si>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</si>
  <si>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</si>
  <si>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</si>
  <si>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</si>
  <si>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</si>
  <si>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</si>
  <si>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</si>
  <si>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</si>
  <si>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</si>
  <si>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</si>
  <si>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</si>
  <si>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</si>
  <si>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</si>
  <si>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</si>
  <si>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</si>
  <si>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</si>
  <si>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</si>
  <si>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</si>
  <si>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</si>
  <si>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</si>
  <si>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</si>
  <si>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</si>
  <si>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</si>
  <si>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</si>
  <si>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</si>
  <si>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</si>
  <si>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</si>
  <si>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</si>
  <si>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</si>
  <si>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</si>
  <si>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</si>
  <si>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</si>
  <si>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</si>
  <si>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</si>
  <si>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</si>
  <si>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</si>
  <si>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</si>
  <si>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</si>
  <si>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</si>
  <si>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</si>
  <si>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</si>
  <si>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</si>
  <si>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</si>
  <si>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</si>
  <si>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</si>
  <si>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</si>
  <si>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</si>
  <si>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</si>
  <si>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</si>
  <si>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</si>
  <si>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</si>
  <si>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</si>
  <si>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</si>
  <si>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</si>
  <si>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</si>
  <si>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</si>
  <si>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</si>
  <si>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</si>
  <si>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</si>
  <si>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</si>
  <si>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</si>
  <si>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</si>
  <si>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</si>
  <si>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</si>
  <si>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</si>
  <si>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</si>
  <si>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</si>
  <si>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</si>
  <si>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</si>
  <si>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</si>
  <si>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</si>
  <si>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</si>
  <si>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</si>
  <si>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</si>
  <si>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</si>
  <si>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</si>
  <si>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</si>
  <si>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</si>
  <si>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</si>
  <si>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</si>
  <si>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</si>
  <si>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</si>
  <si>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</si>
  <si>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</si>
  <si>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</si>
  <si>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</si>
  <si>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</si>
  <si>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</si>
  <si>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</si>
  <si>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</si>
  <si>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</si>
  <si>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</si>
  <si>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</si>
  <si>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</si>
  <si>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</si>
  <si>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</si>
  <si>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</si>
  <si>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</si>
  <si>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</si>
  <si>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</si>
  <si>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</si>
  <si>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</si>
  <si>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</si>
  <si>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</si>
  <si>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</si>
  <si>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</si>
  <si>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</si>
  <si>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</si>
  <si>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</si>
  <si>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</si>
  <si>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</si>
  <si>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</si>
  <si>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</si>
  <si>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</si>
  <si>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</si>
  <si>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</si>
  <si>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</si>
  <si>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</si>
  <si>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</si>
  <si>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</si>
  <si>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</si>
  <si>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</si>
  <si>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</si>
  <si>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</si>
  <si>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</si>
  <si>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</si>
  <si>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</si>
  <si>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</si>
  <si>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</si>
  <si>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</si>
  <si>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</si>
  <si>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</si>
  <si>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</si>
  <si>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</si>
  <si>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</si>
  <si>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</si>
  <si>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</si>
  <si>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</si>
  <si>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</si>
  <si>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</si>
  <si>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</si>
  <si>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</si>
  <si>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</si>
  <si>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</si>
  <si>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</si>
  <si>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</si>
  <si>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</si>
  <si>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</si>
  <si>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</si>
  <si>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</si>
  <si>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</si>
  <si>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</si>
  <si>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</si>
  <si>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</si>
  <si>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</si>
  <si>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</si>
  <si>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</si>
  <si>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</si>
  <si>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</si>
  <si>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</si>
  <si>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</si>
  <si>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</si>
  <si>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</si>
  <si>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</si>
  <si>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</si>
  <si>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</si>
  <si>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</si>
  <si>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</si>
  <si>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</si>
  <si>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</si>
  <si>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</si>
  <si>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</si>
  <si>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</si>
  <si>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</si>
  <si>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</si>
  <si>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</si>
  <si>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</si>
  <si>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</si>
  <si>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</si>
  <si>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</si>
  <si>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</si>
  <si>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</si>
  <si>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</si>
  <si>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</si>
  <si>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</si>
  <si>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</si>
  <si>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</si>
  <si>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</si>
  <si>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</si>
  <si>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</si>
  <si>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</si>
  <si>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</si>
  <si>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</si>
  <si>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</si>
  <si>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</si>
  <si>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</si>
  <si>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</si>
  <si>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</si>
  <si>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</si>
  <si>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</si>
  <si>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</si>
  <si>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</si>
  <si>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</si>
  <si>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</si>
  <si>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</si>
  <si>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</si>
  <si>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</si>
  <si>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</si>
  <si>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</si>
  <si>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</si>
  <si>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</si>
  <si>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</si>
  <si>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</si>
  <si>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</si>
  <si>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</si>
  <si>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</si>
  <si>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</si>
  <si>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</si>
  <si>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</si>
  <si>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</si>
  <si>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</si>
  <si>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</si>
  <si>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</si>
  <si>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</si>
  <si>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</si>
  <si>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</si>
  <si>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</si>
  <si>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</si>
  <si>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</si>
  <si>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</si>
  <si>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</si>
  <si>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</si>
  <si>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</si>
  <si>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</si>
  <si>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</si>
  <si>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</si>
  <si>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</si>
  <si>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</si>
  <si>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</si>
  <si>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</si>
  <si>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</si>
  <si>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</si>
  <si>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</si>
  <si>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</si>
  <si>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</si>
  <si>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</si>
  <si>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</si>
  <si>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</si>
  <si>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</si>
  <si>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</si>
  <si>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</si>
  <si>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</si>
  <si>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</si>
  <si>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</si>
  <si>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</si>
  <si>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</si>
  <si>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</si>
  <si>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</si>
  <si>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</si>
  <si>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</si>
  <si>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</si>
  <si>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</si>
  <si>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</si>
  <si>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</si>
  <si>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</si>
  <si>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</si>
  <si>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</si>
  <si>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</si>
  <si>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</si>
  <si>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</si>
  <si>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</si>
  <si>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</si>
  <si>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</si>
  <si>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</si>
  <si>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</si>
  <si>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</si>
  <si>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</si>
  <si>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</si>
  <si>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</si>
  <si>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</si>
  <si>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</si>
  <si>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</si>
  <si>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</si>
  <si>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</si>
  <si>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</si>
  <si>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</si>
  <si>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</si>
  <si>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</si>
  <si>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</si>
  <si>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</si>
  <si>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</si>
  <si>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</si>
  <si>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</si>
  <si>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</si>
  <si>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</si>
  <si>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</si>
  <si>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</si>
  <si>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</si>
  <si>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</si>
  <si>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</si>
  <si>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</si>
  <si>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</si>
  <si>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</si>
  <si>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</si>
  <si>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</si>
  <si>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</si>
  <si>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</si>
  <si>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</si>
  <si>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</si>
  <si>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</si>
  <si>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</si>
  <si>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</si>
  <si>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</si>
  <si>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</si>
  <si>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</si>
  <si>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</si>
  <si>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</si>
  <si>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</si>
  <si>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</si>
  <si>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</si>
  <si>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</si>
  <si>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</si>
  <si>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</si>
  <si>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</si>
  <si>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</si>
  <si>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</si>
  <si>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</si>
  <si>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</si>
  <si>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</si>
  <si>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</si>
  <si>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</si>
  <si>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</si>
  <si>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</si>
  <si>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</si>
  <si>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</si>
  <si>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</si>
  <si>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</si>
  <si>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</si>
  <si>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</si>
  <si>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</si>
  <si>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</si>
  <si>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</si>
  <si>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</si>
  <si>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</si>
  <si>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</si>
  <si>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</si>
  <si>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</si>
  <si>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</si>
  <si>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</si>
  <si>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</si>
  <si>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</si>
  <si>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</si>
  <si>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</si>
  <si>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</si>
  <si>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</si>
  <si>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</si>
  <si>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</si>
  <si>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</si>
  <si>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</si>
  <si>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</si>
  <si>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</si>
  <si>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</si>
  <si>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</si>
  <si>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</si>
  <si>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</si>
  <si>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</si>
  <si>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</si>
  <si>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</si>
  <si>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</si>
  <si>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</si>
  <si>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</si>
  <si>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</si>
  <si>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</si>
  <si>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</si>
  <si>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</si>
  <si>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</si>
  <si>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</si>
  <si>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</si>
  <si>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</si>
  <si>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</si>
  <si>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</si>
  <si>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</si>
  <si>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</si>
  <si>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</si>
  <si>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</si>
  <si>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</si>
  <si>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</si>
  <si>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</si>
  <si>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</si>
  <si>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</si>
  <si>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</si>
  <si>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</si>
  <si>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</si>
  <si>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</si>
  <si>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</si>
  <si>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</si>
  <si>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</si>
  <si>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</si>
  <si>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</si>
  <si>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</si>
  <si>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</si>
  <si>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</si>
  <si>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</si>
  <si>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</si>
  <si>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</si>
  <si>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</si>
  <si>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</si>
  <si>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</si>
  <si>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</si>
  <si>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</si>
  <si>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</si>
  <si>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</si>
  <si>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</si>
  <si>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</si>
  <si>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</si>
  <si>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</si>
  <si>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</si>
  <si>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</si>
  <si>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</si>
  <si>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</si>
  <si>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</si>
  <si>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</si>
  <si>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</si>
  <si>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</si>
  <si>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</si>
  <si>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</si>
  <si>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</si>
  <si>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</si>
  <si>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</si>
  <si>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</si>
  <si>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</si>
  <si>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</si>
  <si>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</si>
  <si>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</si>
  <si>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</si>
  <si>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</si>
  <si>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</si>
  <si>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</si>
  <si>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</si>
  <si>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</si>
  <si>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</si>
  <si>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</si>
  <si>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</si>
  <si>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</si>
  <si>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</si>
  <si>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</si>
  <si>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</si>
  <si>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</si>
  <si>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</si>
  <si>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</si>
  <si>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</si>
  <si>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</si>
  <si>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</si>
  <si>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</si>
  <si>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</si>
  <si>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</si>
  <si>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</si>
  <si>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</si>
  <si>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</si>
  <si>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</si>
  <si>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</si>
  <si>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</si>
  <si>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</si>
  <si>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</si>
  <si>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</si>
  <si>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</si>
  <si>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</si>
  <si>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</si>
  <si>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</si>
  <si>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</si>
  <si>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</si>
  <si>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</si>
  <si>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</si>
  <si>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</si>
  <si>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</si>
  <si>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</si>
  <si>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</si>
  <si>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</si>
  <si>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</si>
  <si>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</si>
  <si>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</si>
  <si>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</si>
  <si>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</si>
  <si>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</si>
  <si>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</si>
  <si>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</si>
  <si>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</si>
  <si>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</si>
  <si>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</si>
  <si>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</si>
  <si>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</si>
  <si>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</si>
  <si>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</si>
  <si>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</si>
  <si>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</si>
  <si>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</si>
  <si>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</si>
  <si>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</si>
  <si>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</si>
  <si>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</si>
  <si>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</si>
  <si>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</si>
  <si>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</si>
  <si>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</si>
  <si>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</si>
  <si>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</si>
  <si>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</si>
  <si>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</si>
  <si>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</si>
  <si>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</si>
  <si>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</si>
  <si>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</si>
  <si>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</si>
  <si>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</si>
  <si>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</si>
  <si>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</si>
  <si>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</si>
  <si>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</si>
  <si>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</si>
  <si>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</si>
  <si>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</si>
  <si>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</si>
  <si>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</si>
  <si>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</si>
  <si>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</si>
  <si>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</si>
  <si>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</si>
  <si>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</si>
  <si>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</si>
  <si>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</si>
  <si>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</si>
  <si>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</si>
  <si>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</si>
  <si>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</si>
  <si>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</si>
  <si>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</si>
  <si>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</si>
  <si>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</si>
  <si>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</si>
  <si>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</si>
  <si>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</si>
  <si>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</si>
  <si>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</si>
  <si>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</si>
  <si>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</si>
  <si>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</si>
  <si>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</si>
  <si>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</si>
  <si>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</si>
  <si>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</si>
  <si>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</si>
  <si>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</si>
  <si>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</si>
  <si>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</si>
  <si>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</si>
  <si>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</si>
  <si>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</si>
  <si>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</si>
  <si>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</si>
  <si>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</si>
  <si>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</si>
  <si>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</si>
  <si>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</si>
  <si>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</si>
  <si>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</si>
  <si>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</si>
  <si>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</si>
  <si>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</si>
  <si>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</si>
  <si>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</si>
  <si>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</si>
  <si>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</si>
  <si>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</si>
  <si>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</si>
  <si>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</si>
  <si>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</si>
  <si>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</si>
  <si>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</si>
  <si>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</si>
  <si>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</si>
  <si>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</si>
  <si>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</si>
  <si>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</si>
  <si>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</si>
  <si>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</si>
  <si>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</si>
  <si>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</si>
  <si>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</si>
  <si>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</si>
  <si>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</si>
  <si>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</si>
  <si>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</si>
  <si>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</si>
  <si>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</si>
  <si>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</si>
  <si>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</si>
  <si>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</si>
  <si>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</si>
  <si>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</si>
  <si>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</si>
  <si>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</si>
  <si>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</si>
  <si>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</si>
  <si>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</si>
  <si>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</si>
  <si>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</si>
  <si>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</si>
  <si>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</si>
  <si>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</si>
  <si>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</si>
  <si>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</si>
  <si>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</si>
  <si>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</si>
  <si>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</si>
  <si>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</si>
  <si>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</si>
  <si>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</si>
  <si>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</si>
  <si>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</si>
  <si>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</si>
  <si>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</si>
  <si>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</si>
  <si>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</si>
  <si>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</si>
  <si>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</si>
  <si>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</si>
  <si>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</si>
  <si>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</si>
  <si>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</si>
  <si>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</si>
  <si>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</si>
  <si>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</si>
  <si>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</si>
  <si>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</si>
  <si>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</si>
  <si>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</si>
  <si>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</si>
  <si>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</si>
  <si>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</si>
  <si>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</si>
  <si>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</si>
  <si>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</si>
  <si>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</si>
  <si>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</si>
  <si>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</si>
  <si>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</si>
  <si>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</si>
  <si>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</si>
  <si>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</si>
  <si>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</si>
  <si>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</si>
  <si>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</si>
  <si>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</si>
  <si>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</si>
  <si>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</si>
  <si>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</si>
  <si>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</si>
  <si>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</si>
  <si>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</si>
  <si>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</si>
  <si>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</si>
  <si>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</si>
  <si>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</si>
  <si>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</si>
  <si>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</si>
  <si>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</si>
  <si>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</si>
  <si>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</si>
  <si>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</si>
  <si>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</si>
  <si>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</si>
  <si>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</si>
  <si>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</si>
  <si>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</si>
  <si>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</si>
  <si>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</si>
  <si>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</si>
  <si>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</si>
  <si>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</si>
  <si>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</si>
  <si>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</si>
  <si>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</si>
  <si>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</si>
  <si>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</si>
  <si>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</si>
  <si>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</si>
  <si>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</si>
  <si>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</si>
  <si>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</si>
  <si>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</si>
  <si>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</si>
  <si>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</si>
  <si>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</si>
  <si>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</si>
  <si>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</si>
  <si>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</si>
  <si>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</si>
  <si>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</si>
  <si>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</si>
  <si>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</si>
  <si>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</si>
  <si>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</si>
  <si>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</si>
  <si>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</si>
  <si>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</si>
  <si>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</si>
  <si>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</si>
  <si>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</si>
  <si>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</si>
  <si>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</si>
  <si>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</si>
  <si>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</si>
  <si>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</si>
  <si>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</si>
  <si>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</si>
  <si>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</si>
  <si>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</si>
  <si>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</si>
  <si>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</si>
  <si>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</si>
  <si>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</si>
  <si>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</si>
  <si>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</si>
  <si>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</si>
  <si>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</si>
  <si>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</si>
  <si>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</si>
  <si>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</si>
  <si>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</si>
  <si>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</si>
  <si>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</si>
  <si>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</si>
  <si>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</si>
  <si>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</si>
  <si>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</si>
  <si>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</si>
  <si>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</si>
  <si>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</si>
  <si>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</si>
  <si>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</si>
  <si>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</si>
  <si>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</si>
  <si>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</si>
  <si>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</si>
  <si>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</si>
  <si>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</si>
  <si>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</si>
  <si>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</si>
  <si>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</si>
  <si>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</si>
  <si>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</si>
  <si>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</si>
  <si>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</si>
  <si>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</si>
  <si>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</si>
  <si>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</si>
  <si>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</si>
  <si>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</si>
  <si>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</si>
  <si>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</si>
  <si>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</si>
  <si>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</si>
  <si>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</si>
  <si>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</si>
  <si>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</si>
  <si>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</si>
  <si>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</si>
  <si>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</si>
  <si>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</si>
  <si>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</si>
  <si>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</si>
  <si>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</si>
  <si>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</si>
  <si>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</si>
  <si>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</si>
  <si>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</si>
  <si>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</si>
  <si>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</si>
  <si>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</si>
  <si>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</si>
  <si>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</si>
  <si>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</si>
  <si>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</si>
  <si>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</si>
  <si>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</si>
  <si>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</si>
  <si>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</si>
  <si>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</si>
  <si>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</si>
  <si>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</si>
  <si>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</si>
  <si>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</si>
  <si>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</si>
  <si>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</si>
  <si>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</si>
  <si>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</si>
  <si>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</si>
  <si>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</si>
  <si>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</si>
  <si>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</si>
  <si>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</si>
  <si>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</si>
  <si>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</si>
  <si>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</si>
  <si>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</si>
  <si>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</si>
  <si>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</si>
  <si>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</si>
  <si>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</si>
  <si>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</si>
  <si>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</si>
  <si>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</si>
  <si>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</si>
  <si>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</si>
  <si>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</si>
  <si>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</si>
  <si>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</si>
  <si>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</si>
  <si>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</si>
  <si>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</si>
  <si>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</si>
  <si>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</si>
  <si>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</si>
  <si>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</si>
  <si>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</si>
  <si>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</si>
  <si>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</si>
  <si>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</si>
  <si>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</si>
  <si>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</si>
  <si>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</si>
  <si>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</si>
  <si>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</si>
  <si>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</si>
  <si>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</si>
  <si>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</si>
  <si>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</si>
  <si>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</si>
  <si>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</si>
  <si>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</si>
  <si>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</si>
  <si>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</si>
  <si>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</si>
  <si>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</si>
  <si>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</si>
  <si>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</si>
  <si>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</si>
  <si>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</si>
  <si>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</si>
  <si>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</si>
  <si>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</si>
  <si>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</si>
  <si>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</si>
  <si>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</si>
  <si>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</si>
  <si>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</si>
  <si>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</si>
  <si>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</si>
  <si>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</si>
  <si>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</si>
  <si>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</si>
  <si>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</si>
  <si>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</si>
  <si>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</si>
  <si>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</si>
  <si>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</si>
  <si>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</si>
  <si>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</si>
  <si>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</si>
  <si>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</si>
  <si>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</si>
  <si>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</si>
  <si>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</si>
  <si>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</si>
  <si>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</si>
  <si>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</si>
  <si>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</si>
  <si>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</si>
  <si>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</si>
  <si>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</si>
  <si>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</si>
  <si>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</si>
  <si>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</si>
  <si>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</si>
  <si>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</si>
  <si>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</si>
  <si>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</si>
  <si>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</si>
  <si>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</si>
  <si>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</si>
  <si>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</si>
  <si>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</si>
  <si>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</si>
  <si>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</si>
  <si>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</si>
  <si>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</si>
  <si>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</si>
  <si>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</si>
  <si>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</si>
  <si>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</si>
  <si>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</si>
  <si>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</si>
  <si>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</si>
  <si>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</si>
  <si>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</si>
  <si>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</si>
  <si>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</si>
  <si>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</si>
  <si>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</si>
  <si>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</si>
  <si>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</si>
  <si>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</si>
  <si>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</si>
  <si>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</si>
  <si>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</si>
  <si>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</si>
  <si>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</si>
  <si>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</si>
  <si>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</si>
  <si>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</si>
  <si>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</si>
  <si>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</si>
  <si>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</si>
  <si>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</si>
  <si>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</si>
  <si>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</si>
  <si>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</si>
  <si>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</si>
  <si>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</si>
  <si>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</si>
  <si>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</si>
  <si>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</si>
  <si>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</si>
  <si>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</si>
  <si>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</si>
  <si>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</si>
  <si>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</si>
  <si>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</si>
  <si>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</si>
  <si>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</si>
  <si>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</si>
  <si>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</si>
  <si>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</si>
  <si>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</si>
  <si>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</si>
  <si>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</si>
  <si>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</si>
  <si>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</si>
  <si>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</si>
  <si>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</si>
  <si>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</si>
  <si>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</si>
  <si>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</si>
  <si>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</si>
  <si>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</si>
  <si>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</si>
  <si>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</si>
  <si>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</si>
  <si>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</si>
  <si>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</si>
  <si>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</si>
  <si>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</si>
  <si>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</si>
  <si>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</si>
  <si>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</si>
  <si>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</si>
  <si>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</si>
  <si>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</si>
  <si>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</si>
  <si>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</si>
  <si>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</si>
  <si>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</si>
  <si>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</si>
  <si>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</si>
  <si>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</si>
  <si>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</si>
  <si>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</si>
  <si>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</si>
  <si>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</si>
  <si>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</si>
  <si>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</si>
  <si>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</si>
  <si>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</si>
  <si>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</si>
  <si>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</si>
  <si>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</si>
  <si>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</si>
  <si>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</si>
  <si>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</si>
  <si>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</si>
  <si>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</si>
  <si>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</si>
  <si>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</si>
  <si>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</si>
  <si>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</si>
  <si>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</si>
  <si>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</si>
  <si>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</si>
  <si>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</si>
  <si>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</si>
  <si>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</si>
  <si>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</si>
  <si>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</si>
  <si>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</si>
  <si>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</si>
  <si>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</si>
  <si>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</si>
  <si>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</si>
  <si>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</si>
  <si>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</si>
  <si>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</si>
  <si>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</si>
  <si>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</si>
  <si>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</si>
  <si>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</si>
  <si>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</si>
  <si>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</si>
  <si>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</si>
  <si>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</si>
  <si>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</si>
  <si>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</si>
  <si>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</si>
  <si>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</si>
  <si>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</si>
  <si>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</si>
  <si>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</si>
  <si>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</si>
  <si>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</si>
  <si>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</si>
  <si>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</si>
  <si>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</si>
  <si>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</si>
  <si>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</si>
  <si>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</si>
  <si>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</si>
  <si>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</si>
  <si>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</si>
  <si>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</si>
  <si>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</si>
  <si>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</si>
  <si>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</si>
  <si>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</si>
  <si>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</si>
  <si>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</si>
  <si>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</si>
  <si>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</si>
  <si>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</si>
  <si>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</si>
  <si>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</si>
  <si>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</si>
  <si>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</si>
  <si>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</si>
  <si>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</si>
  <si>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</si>
  <si>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</si>
  <si>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</si>
  <si>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</si>
  <si>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</si>
  <si>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</si>
  <si>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</si>
  <si>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</si>
  <si>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</si>
  <si>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</si>
  <si>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</si>
  <si>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</si>
  <si>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</si>
  <si>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</si>
  <si>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</si>
  <si>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</si>
  <si>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</si>
  <si>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</si>
  <si>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</si>
  <si>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</si>
  <si>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</si>
  <si>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</si>
  <si>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</si>
  <si>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</si>
  <si>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</si>
  <si>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</si>
  <si>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</si>
  <si>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</si>
  <si>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</si>
  <si>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</si>
  <si>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</si>
  <si>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</si>
  <si>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</si>
  <si>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</si>
  <si>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</si>
  <si>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</si>
  <si>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</si>
  <si>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</si>
  <si>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</si>
  <si>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</si>
  <si>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</si>
  <si>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</si>
  <si>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</si>
  <si>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</si>
  <si>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</si>
  <si>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</si>
  <si>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</si>
  <si>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</si>
  <si>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</si>
  <si>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</si>
  <si>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</si>
  <si>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</si>
  <si>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</si>
  <si>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</si>
  <si>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</si>
  <si>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</si>
  <si>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</si>
  <si>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</si>
  <si>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</si>
  <si>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</si>
  <si>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</si>
  <si>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</si>
  <si>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</si>
  <si>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</si>
  <si>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</si>
  <si>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</si>
  <si>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</si>
  <si>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</si>
  <si>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</si>
  <si>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</si>
  <si>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</si>
  <si>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</si>
  <si>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</si>
  <si>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</si>
  <si>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</si>
  <si>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</si>
  <si>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</si>
  <si>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</si>
  <si>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</si>
  <si>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</si>
  <si>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</si>
  <si>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</si>
  <si>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</si>
  <si>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</si>
  <si>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</si>
  <si>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</si>
  <si>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</si>
  <si>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</si>
  <si>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</si>
  <si>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</si>
  <si>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</si>
  <si>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</si>
  <si>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</si>
  <si>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</si>
  <si>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</si>
  <si>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</si>
  <si>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</si>
  <si>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</si>
  <si>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</si>
  <si>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</si>
  <si>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</si>
  <si>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</si>
  <si>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</si>
  <si>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</si>
  <si>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</si>
  <si>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</si>
  <si>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</si>
  <si>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</si>
  <si>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</si>
  <si>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</si>
  <si>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</si>
  <si>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</si>
  <si>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</si>
  <si>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</si>
  <si>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</si>
  <si>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</si>
  <si>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</si>
  <si>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</si>
  <si>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</si>
  <si>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</si>
  <si>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</si>
  <si>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</si>
  <si>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</si>
  <si>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</si>
  <si>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</si>
  <si>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</si>
  <si>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</si>
  <si>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</si>
  <si>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</si>
  <si>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</si>
  <si>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</si>
  <si>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</si>
  <si>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</si>
  <si>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</si>
  <si>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</si>
  <si>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</si>
  <si>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</si>
  <si>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</si>
  <si>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</si>
  <si>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</si>
  <si>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</si>
  <si>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</si>
  <si>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</si>
  <si>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</si>
  <si>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</si>
  <si>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</si>
  <si>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</si>
  <si>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</si>
  <si>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</si>
  <si>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</si>
  <si>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</si>
  <si>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</si>
  <si>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</si>
  <si>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</si>
  <si>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</si>
  <si>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</si>
  <si>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</si>
  <si>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</si>
  <si>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</si>
  <si>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</si>
  <si>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</si>
  <si>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</si>
  <si>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</si>
  <si>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</si>
  <si>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</si>
  <si>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</si>
  <si>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</si>
  <si>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</si>
  <si>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</si>
  <si>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</si>
  <si>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</si>
  <si>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</si>
  <si>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</si>
  <si>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</si>
  <si>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</si>
  <si>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</si>
  <si>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</si>
  <si>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</si>
  <si>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</si>
  <si>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</si>
  <si>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</si>
  <si>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</si>
  <si>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</si>
  <si>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</si>
  <si>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</si>
  <si>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</si>
  <si>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</si>
  <si>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</si>
  <si>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</si>
  <si>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</si>
  <si>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</si>
  <si>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</si>
  <si>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</si>
  <si>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</si>
  <si>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</si>
  <si>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</si>
  <si>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</si>
  <si>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</si>
  <si>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</si>
  <si>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</si>
  <si>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</si>
  <si>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</si>
  <si>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</si>
  <si>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</si>
  <si>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</si>
  <si>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</si>
  <si>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</si>
  <si>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</si>
  <si>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</si>
  <si>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</si>
  <si>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</si>
  <si>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</si>
  <si>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</si>
  <si>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</si>
  <si>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</si>
  <si>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</si>
  <si>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</si>
  <si>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</si>
  <si>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</si>
  <si>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</si>
  <si>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</si>
  <si>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</si>
  <si>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</si>
  <si>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</si>
  <si>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</si>
  <si>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</si>
  <si>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</si>
  <si>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</si>
  <si>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</si>
  <si>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</si>
  <si>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</si>
  <si>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</si>
  <si>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</si>
  <si>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</si>
  <si>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</si>
  <si>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</si>
  <si>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</si>
  <si>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</si>
  <si>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</si>
  <si>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</si>
  <si>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</si>
  <si>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</si>
  <si>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</si>
  <si>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</si>
  <si>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</si>
  <si>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</si>
  <si>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</si>
  <si>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</si>
  <si>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</si>
  <si>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</si>
  <si>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</si>
  <si>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</si>
  <si>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</si>
  <si>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</si>
  <si>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</si>
  <si>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</si>
  <si>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</si>
  <si>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</si>
  <si>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</si>
  <si>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</si>
  <si>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</si>
  <si>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</si>
  <si>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</si>
  <si>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</si>
  <si>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</si>
  <si>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</si>
  <si>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</si>
  <si>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</si>
  <si>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</si>
  <si>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</si>
  <si>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</si>
  <si>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</si>
  <si>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</si>
  <si>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</si>
  <si>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</si>
  <si>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</si>
  <si>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</si>
  <si>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</si>
  <si>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</si>
  <si>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</si>
  <si>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</si>
  <si>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</si>
  <si>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</si>
  <si>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</si>
  <si>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</si>
  <si>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</si>
  <si>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</si>
  <si>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</si>
  <si>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</si>
  <si>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</si>
  <si>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</si>
  <si>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</si>
  <si>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</si>
  <si>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</si>
  <si>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</si>
  <si>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</si>
  <si>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</si>
  <si>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</si>
  <si>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</si>
  <si>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</si>
  <si>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</si>
  <si>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</si>
  <si>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</si>
  <si>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</si>
  <si>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</si>
  <si>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</si>
  <si>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</si>
  <si>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</si>
  <si>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</si>
  <si>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</si>
  <si>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</si>
  <si>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</si>
  <si>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</si>
  <si>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</si>
  <si>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</si>
  <si>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</si>
  <si>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</si>
  <si>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</si>
  <si>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</si>
  <si>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</si>
  <si>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</si>
  <si>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</si>
  <si>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</si>
  <si>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</si>
  <si>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</si>
  <si>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</si>
  <si>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</si>
  <si>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</si>
  <si>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</si>
  <si>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</si>
  <si>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</si>
  <si>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</si>
  <si>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</si>
  <si>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</si>
  <si>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</si>
  <si>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</si>
  <si>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</si>
  <si>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</si>
  <si>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</si>
  <si>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</si>
  <si>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</si>
  <si>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</si>
  <si>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</si>
  <si>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</si>
  <si>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</si>
  <si>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</si>
  <si>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</si>
  <si>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</si>
  <si>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</si>
  <si>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</si>
  <si>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</si>
  <si>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</si>
  <si>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</si>
  <si>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</si>
  <si>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</si>
  <si>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</si>
  <si>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</si>
  <si>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</si>
  <si>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</si>
  <si>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</si>
  <si>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</si>
  <si>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</si>
  <si>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</si>
  <si>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</si>
  <si>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</si>
  <si>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</si>
  <si>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</si>
  <si>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</si>
  <si>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</si>
  <si>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</si>
  <si>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</si>
  <si>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</si>
  <si>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</si>
  <si>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</si>
  <si>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</si>
  <si>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</si>
  <si>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</si>
  <si>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</si>
  <si>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</si>
  <si>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</si>
  <si>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</si>
  <si>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</si>
  <si>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</si>
  <si>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</si>
  <si>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</si>
  <si>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</si>
  <si>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</si>
  <si>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</si>
  <si>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</si>
  <si>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</si>
  <si>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</si>
  <si>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</si>
  <si>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</si>
  <si>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</si>
  <si>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</si>
  <si>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</si>
  <si>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</si>
  <si>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</si>
  <si>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</si>
  <si>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</si>
  <si>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</si>
  <si>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</si>
  <si>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</si>
  <si>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</si>
  <si>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</si>
  <si>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</si>
  <si>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</si>
  <si>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</si>
  <si>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</si>
  <si>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</si>
  <si>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</si>
  <si>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</si>
  <si>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</si>
  <si>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</si>
  <si>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</si>
  <si>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</si>
  <si>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</si>
  <si>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</si>
  <si>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</si>
  <si>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</si>
  <si>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</si>
  <si>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</si>
  <si>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</si>
  <si>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</si>
  <si>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</si>
  <si>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</si>
  <si>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</si>
  <si>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</si>
  <si>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</si>
  <si>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</si>
  <si>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</si>
  <si>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</si>
  <si>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</si>
  <si>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</si>
  <si>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</si>
  <si>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</si>
  <si>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</si>
  <si>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</si>
  <si>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</si>
  <si>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</si>
  <si>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</si>
  <si>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</si>
  <si>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</si>
  <si>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</si>
  <si>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</si>
  <si>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</si>
  <si>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</si>
  <si>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</si>
  <si>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</si>
  <si>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</si>
  <si>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</si>
  <si>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</si>
  <si>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</si>
  <si>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</si>
  <si>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</si>
  <si>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</si>
  <si>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</si>
  <si>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</si>
  <si>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</si>
  <si>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</si>
  <si>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</si>
  <si>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</si>
  <si>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</si>
  <si>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</si>
  <si>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</si>
  <si>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</si>
  <si>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</si>
  <si>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</si>
  <si>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</si>
  <si>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</si>
  <si>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</si>
  <si>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</si>
  <si>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</si>
  <si>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</si>
  <si>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</si>
  <si>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</si>
  <si>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</si>
  <si>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</si>
  <si>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</si>
  <si>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</si>
  <si>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</si>
  <si>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</si>
  <si>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</si>
  <si>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</si>
  <si>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</si>
  <si>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</si>
  <si>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</si>
  <si>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</si>
  <si>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</si>
  <si>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</si>
  <si>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</si>
  <si>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</si>
  <si>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</si>
  <si>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</si>
  <si>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</si>
  <si>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</si>
  <si>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</si>
  <si>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</si>
  <si>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</si>
  <si>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</si>
  <si>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</si>
  <si>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</si>
  <si>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</si>
  <si>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</si>
  <si>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</si>
  <si>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</si>
  <si>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</si>
  <si>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</si>
  <si>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</si>
  <si>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</si>
  <si>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</si>
  <si>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</si>
  <si>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</si>
  <si>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</si>
  <si>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</si>
  <si>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</si>
  <si>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</si>
  <si>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</si>
  <si>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</si>
  <si>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</si>
  <si>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</si>
  <si>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</si>
  <si>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</si>
  <si>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</si>
  <si>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</si>
  <si>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</si>
  <si>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</si>
  <si>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</si>
  <si>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</si>
  <si>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</si>
  <si>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</si>
  <si>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</si>
  <si>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</si>
  <si>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</si>
  <si>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</si>
  <si>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</si>
  <si>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</si>
  <si>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</si>
  <si>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</si>
  <si>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</si>
  <si>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</si>
  <si>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</si>
  <si>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</si>
  <si>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</si>
  <si>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</si>
  <si>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</si>
  <si>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</si>
  <si>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</si>
  <si>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</si>
  <si>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</si>
  <si>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</si>
  <si>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</si>
  <si>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</si>
  <si>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</si>
  <si>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</si>
  <si>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</si>
  <si>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</si>
  <si>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</si>
  <si>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</si>
  <si>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</si>
  <si>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</si>
  <si>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</si>
  <si>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</si>
  <si>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</si>
  <si>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</si>
  <si>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</si>
  <si>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</si>
  <si>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</si>
  <si>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</si>
  <si>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</si>
  <si>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</si>
  <si>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</si>
  <si>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</si>
  <si>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</si>
  <si>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</si>
  <si>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</si>
  <si>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</si>
  <si>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</si>
  <si>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</si>
  <si>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</si>
  <si>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</si>
  <si>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</si>
  <si>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</si>
  <si>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</si>
  <si>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</si>
  <si>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</si>
  <si>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</si>
  <si>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</si>
  <si>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</si>
  <si>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</si>
  <si>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</si>
  <si>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</si>
  <si>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</si>
  <si>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</si>
  <si>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</si>
  <si>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</si>
  <si>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</si>
  <si>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</si>
  <si>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</si>
  <si>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</si>
  <si>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</si>
  <si>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</si>
  <si>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</si>
  <si>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</si>
  <si>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</si>
  <si>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</si>
  <si>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</si>
  <si>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</si>
  <si>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</si>
  <si>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</si>
  <si>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</si>
  <si>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</si>
  <si>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</si>
  <si>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</si>
  <si>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</si>
  <si>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</si>
  <si>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</si>
  <si>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</si>
  <si>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</si>
  <si>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</si>
  <si>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</si>
  <si>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</si>
  <si>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</si>
  <si>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</si>
  <si>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</si>
  <si>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</si>
  <si>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</si>
  <si>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</si>
  <si>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</si>
  <si>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</si>
  <si>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</si>
  <si>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</si>
  <si>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</si>
  <si>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</si>
  <si>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</si>
  <si>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</si>
  <si>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</si>
  <si>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</si>
  <si>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</si>
  <si>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</si>
  <si>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</si>
  <si>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</si>
  <si>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</si>
  <si>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</si>
  <si>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</si>
  <si>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</si>
  <si>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</si>
  <si>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</si>
  <si>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</si>
  <si>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</si>
  <si>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</si>
  <si>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</si>
  <si>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</si>
  <si>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</si>
  <si>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</si>
  <si>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</si>
  <si>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</si>
  <si>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</si>
  <si>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</si>
  <si>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</si>
  <si>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</si>
  <si>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</si>
  <si>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</si>
  <si>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</si>
  <si>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</si>
  <si>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</si>
  <si>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</si>
  <si>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</si>
  <si>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</si>
  <si>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</si>
  <si>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</si>
  <si>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</si>
  <si>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</si>
  <si>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</si>
  <si>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</si>
  <si>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</si>
  <si>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</si>
  <si>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</si>
  <si>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</si>
  <si>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</si>
  <si>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</si>
  <si>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</si>
  <si>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</si>
  <si>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</si>
  <si>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</si>
  <si>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</si>
  <si>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</si>
  <si>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</si>
  <si>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</si>
  <si>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</si>
  <si>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</si>
  <si>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</si>
  <si>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</si>
  <si>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</si>
  <si>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</si>
  <si>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</si>
  <si>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</si>
  <si>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</si>
  <si>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</si>
  <si>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</si>
  <si>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</si>
  <si>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</si>
  <si>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</si>
  <si>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</si>
  <si>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</si>
  <si>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</si>
  <si>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</si>
  <si>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</si>
  <si>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</si>
  <si>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</si>
  <si>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</si>
  <si>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</si>
  <si>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</si>
  <si>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</si>
  <si>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</si>
  <si>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</si>
  <si>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</si>
  <si>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</si>
  <si>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</si>
  <si>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</si>
  <si>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</si>
  <si>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</si>
  <si>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</si>
  <si>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</si>
  <si>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</si>
  <si>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</si>
  <si>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</si>
  <si>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</si>
  <si>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</si>
  <si>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</si>
  <si>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</si>
  <si>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</si>
  <si>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</si>
  <si>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</si>
  <si>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</si>
  <si>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</si>
  <si>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</si>
  <si>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</si>
  <si>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</si>
  <si>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</si>
  <si>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</si>
  <si>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</si>
  <si>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</si>
  <si>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</si>
  <si>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</si>
  <si>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</si>
  <si>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</si>
  <si>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</si>
  <si>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</si>
  <si>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</si>
  <si>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</si>
  <si>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</si>
  <si>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</si>
  <si>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</si>
  <si>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</si>
  <si>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</si>
  <si>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</si>
  <si>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</si>
  <si>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</si>
  <si>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</si>
  <si>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</si>
  <si>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</si>
  <si>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</si>
  <si>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</si>
  <si>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</si>
  <si>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</si>
  <si>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</si>
  <si>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</si>
  <si>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</si>
  <si>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</si>
  <si>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</si>
  <si>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</si>
  <si>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</si>
  <si>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</si>
  <si>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</si>
  <si>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</si>
  <si>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</si>
  <si>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</si>
  <si>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</si>
  <si>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</si>
  <si>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</si>
  <si>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</si>
  <si>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</si>
  <si>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</si>
  <si>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</si>
  <si>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</si>
  <si>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</si>
  <si>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</si>
  <si>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</si>
  <si>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</si>
  <si>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</si>
  <si>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</si>
  <si>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</si>
  <si>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</si>
  <si>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</si>
  <si>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</si>
  <si>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</si>
  <si>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</si>
  <si>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</si>
  <si>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</si>
  <si>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</si>
  <si>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</si>
  <si>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</si>
  <si>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</si>
  <si>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</si>
  <si>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</si>
  <si>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</si>
  <si>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</si>
  <si>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</si>
  <si>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</si>
  <si>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</si>
  <si>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</si>
  <si>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</si>
  <si>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</si>
  <si>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</si>
  <si>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</si>
  <si>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</si>
  <si>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</si>
  <si>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</si>
  <si>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</si>
  <si>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</si>
  <si>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</si>
  <si>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</si>
  <si>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</si>
  <si>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</si>
  <si>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</si>
  <si>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</si>
  <si>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</si>
  <si>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</si>
  <si>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</si>
  <si>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</si>
  <si>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</si>
  <si>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</si>
  <si>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</si>
  <si>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</si>
  <si>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北京市</t>
  </si>
  <si>
    <t>同观商业中心</t>
    <phoneticPr fontId="6" type="noConversion"/>
  </si>
  <si>
    <t>企业</t>
  </si>
  <si>
    <t>出让</t>
  </si>
  <si>
    <t>核定资产</t>
  </si>
  <si>
    <t>房地产市场价值</t>
  </si>
  <si>
    <t>地上</t>
  </si>
  <si>
    <t>地下</t>
  </si>
  <si>
    <t>是</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</si>
  <si>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</si>
  <si>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</si>
  <si>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</si>
  <si>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</si>
  <si>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批发零售用地</t>
  </si>
  <si>
    <t>自定义容积率</t>
  </si>
  <si>
    <t>不临58条商业街</t>
  </si>
  <si>
    <t>商业</t>
    <phoneticPr fontId="7" type="noConversion"/>
  </si>
  <si>
    <t>楼层修正</t>
  </si>
  <si>
    <t>较好</t>
  </si>
  <si>
    <t>一般</t>
  </si>
  <si>
    <t>好</t>
  </si>
  <si>
    <t>按公示增长率计算</t>
  </si>
  <si>
    <t>与级别开发程度一致</t>
  </si>
  <si>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</si>
  <si>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</si>
  <si>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</si>
  <si>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</si>
  <si>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成本法 (元)</t>
  </si>
  <si>
    <t>基准地价修正（1层+地下1层）</t>
  </si>
  <si>
    <t>基准地价修正（1层+地下1层）</t>
    <phoneticPr fontId="16" type="noConversion"/>
  </si>
  <si>
    <t>基准地价修正 (2层)</t>
  </si>
  <si>
    <t>基准地价修正 (2层)</t>
    <phoneticPr fontId="16" type="noConversion"/>
  </si>
  <si>
    <t xml:space="preserve">基准地价修正 (3层) </t>
  </si>
  <si>
    <t xml:space="preserve">基准地价修正 (3层) </t>
    <phoneticPr fontId="16" type="noConversion"/>
  </si>
  <si>
    <t>已包含在土地取得成本中</t>
  </si>
  <si>
    <t>未包含在土地购买价格中</t>
  </si>
  <si>
    <t>成新度</t>
  </si>
  <si>
    <t>收益法 (元)</t>
  </si>
  <si>
    <t>全部缴纳</t>
  </si>
  <si>
    <t>押一</t>
  </si>
  <si>
    <t>钢混</t>
  </si>
  <si>
    <t>非生产用房</t>
  </si>
  <si>
    <t>按租金收入计税</t>
  </si>
  <si>
    <t>一层</t>
    <phoneticPr fontId="146" type="noConversion"/>
  </si>
  <si>
    <t>二层</t>
    <phoneticPr fontId="146" type="noConversion"/>
  </si>
  <si>
    <t>三层</t>
    <phoneticPr fontId="146" type="noConversion"/>
  </si>
  <si>
    <t>地下一层</t>
    <phoneticPr fontId="146" type="noConversion"/>
  </si>
  <si>
    <t>单价</t>
    <phoneticPr fontId="146" type="noConversion"/>
  </si>
  <si>
    <t>系数</t>
    <phoneticPr fontId="146" type="noConversion"/>
  </si>
  <si>
    <t>总价</t>
    <phoneticPr fontId="146" type="noConversion"/>
  </si>
  <si>
    <t>均价</t>
    <phoneticPr fontId="146"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</si>
</sst>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19</xdr:row>
      <xdr:rowOff>18641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085715" cy="3276191"/>
        </a:xfrm>
        <a:prstGeom prst="rect">
          <a:avLst/>
        </a:prstGeom>
      </xdr:spPr>
    </xdr:pic>
    <xdr:clientData/>
  </xdr:twoCellAnchor>
  <xdr:twoCellAnchor editAs="oneCell">
    <xdr:from>
      <xdr:col>0</xdr:col>
      <xdr:colOff>0</xdr:colOff>
      <xdr:row>19</xdr:row>
      <xdr:rowOff>0</xdr:rowOff>
    </xdr:from>
    <xdr:to>
      <xdr:col>14</xdr:col>
      <xdr:colOff>55944</xdr:colOff>
      <xdr:row>23</xdr:row>
      <xdr:rowOff>38010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257550"/>
          <a:ext cx="9657144" cy="723810"/>
        </a:xfrm>
        <a:prstGeom prst="rect">
          <a:avLst/>
        </a:prstGeom>
      </xdr:spPr>
    </xdr:pic>
    <xdr:clientData/>
  </xdr:twoCellAnchor>
  <xdr:twoCellAnchor editAs="oneCell">
    <xdr:from>
      <xdr:col>0</xdr:col>
      <xdr:colOff>0</xdr:colOff>
      <xdr:row>24</xdr:row>
      <xdr:rowOff>0</xdr:rowOff>
    </xdr:from>
    <xdr:to>
      <xdr:col>14</xdr:col>
      <xdr:colOff>122610</xdr:colOff>
      <xdr:row>42</xdr:row>
      <xdr:rowOff>94853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4114800"/>
          <a:ext cx="9723810" cy="31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C23" sqref="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估价对象为北京市出让国有建设用地使用权及在建建筑物房地产，为所有。根据《国有土地使用证》[]，估价对象（分摊）出让国有建设用地使用权面积为0平方米，建筑面积为7400平方米。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7400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2020年7月7日</v>
      </c>
    </row>
    <row r="13" spans="1:2" s="1593" customFormat="1">
      <c r="A13" s="1591" t="s">
        <v>1222</v>
      </c>
      <c r="B13" s="1592" t="str">
        <f>'预评函-1'!A18</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31500</v>
      </c>
    </row>
    <row r="21" spans="1:2" s="1593" customFormat="1">
      <c r="A21" s="1591" t="s">
        <v>1230</v>
      </c>
      <c r="B21" s="1592">
        <f ca="1">'预评函-2'!D7</f>
        <v>42568</v>
      </c>
    </row>
    <row r="22" spans="1:2" s="1593" customFormat="1">
      <c r="A22" s="1591" t="s">
        <v>1231</v>
      </c>
      <c r="B22" s="1592" t="str">
        <f ca="1">'预评函-2'!D6</f>
        <v>叁亿壹仟伍佰万元整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31500</v>
      </c>
    </row>
    <row r="31" spans="1:2" s="1593" customFormat="1">
      <c r="A31" s="1591" t="s">
        <v>1269</v>
      </c>
      <c r="B31" s="1592">
        <f ca="1">'预评函-2'!D15</f>
        <v>42568</v>
      </c>
    </row>
    <row r="32" spans="1:2" s="1593" customFormat="1">
      <c r="A32" s="1591" t="s">
        <v>1236</v>
      </c>
      <c r="B32" s="1592" t="str">
        <f ca="1">'预评函-2'!D14</f>
        <v>叁亿壹仟伍佰万元整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7400</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C4" sqref="C4"/>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3088</v>
      </c>
      <c r="C17" s="2006"/>
    </row>
    <row r="18" spans="1:3">
      <c r="A18" s="2005" t="s">
        <v>1761</v>
      </c>
      <c r="B18" s="2005" t="s">
        <v>3090</v>
      </c>
      <c r="C18" s="2006"/>
    </row>
    <row r="19" spans="1:3">
      <c r="A19" s="2005" t="s">
        <v>1762</v>
      </c>
      <c r="B19" s="2005" t="s">
        <v>3092</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19"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13" t="s">
        <v>860</v>
      </c>
      <c r="C54" s="2010" t="s">
        <v>1276</v>
      </c>
    </row>
    <row r="55" spans="1:4">
      <c r="A55" s="3019"/>
      <c r="B55" s="2013" t="s">
        <v>861</v>
      </c>
      <c r="C55" s="2010" t="s">
        <v>1277</v>
      </c>
    </row>
    <row r="56" spans="1:4">
      <c r="A56" s="3019"/>
      <c r="B56" s="2013" t="s">
        <v>862</v>
      </c>
      <c r="C56" s="2010" t="s">
        <v>1281</v>
      </c>
    </row>
    <row r="57" spans="1:4">
      <c r="A57" s="3019"/>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10" zoomScale="90" zoomScaleNormal="100" zoomScaleSheetLayoutView="90" workbookViewId="0">
      <selection activeCell="F30" sqref="F30"/>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28"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29"/>
      <c r="D1" s="3029"/>
      <c r="E1" s="3029"/>
      <c r="F1" s="3029"/>
      <c r="G1" s="3029"/>
      <c r="H1" s="3029"/>
      <c r="I1" s="3030"/>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6" t="s">
        <v>1772</v>
      </c>
      <c r="B3" s="2027"/>
      <c r="C3" s="2028" t="s">
        <v>1773</v>
      </c>
      <c r="D3" s="2027">
        <v>44019</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3063</v>
      </c>
      <c r="C8" s="2047"/>
      <c r="D8" s="3031" t="s">
        <v>1779</v>
      </c>
      <c r="E8" s="2048"/>
      <c r="F8" s="2049"/>
      <c r="G8" s="2017"/>
      <c r="H8" s="2017"/>
      <c r="I8" s="2017"/>
      <c r="J8" s="2033"/>
      <c r="K8" s="2034"/>
      <c r="L8" s="2019"/>
      <c r="M8" s="2019"/>
      <c r="N8" s="2020"/>
      <c r="O8" s="2021"/>
      <c r="P8" s="2020"/>
      <c r="Q8" s="2020"/>
      <c r="R8" s="2020"/>
    </row>
    <row r="9" spans="1:19" ht="18" customHeight="1" thickBot="1">
      <c r="A9" s="2031" t="s">
        <v>1780</v>
      </c>
      <c r="B9" s="2050" t="s">
        <v>3064</v>
      </c>
      <c r="C9" s="2051"/>
      <c r="D9" s="3032"/>
      <c r="E9" s="2050"/>
      <c r="F9" s="2052"/>
      <c r="G9" s="2053"/>
      <c r="H9" s="2053"/>
      <c r="I9" s="2053"/>
      <c r="J9" s="2033"/>
      <c r="K9" s="2045"/>
      <c r="L9" s="2019"/>
      <c r="M9" s="2019"/>
      <c r="N9" s="2020"/>
      <c r="O9" s="2021"/>
      <c r="P9" s="2020"/>
      <c r="Q9" s="2020"/>
      <c r="R9" s="2020"/>
    </row>
    <row r="10" spans="1:19" ht="18" customHeight="1" thickTop="1">
      <c r="A10" s="2054" t="s">
        <v>1781</v>
      </c>
      <c r="B10" s="2055" t="s">
        <v>3059</v>
      </c>
      <c r="C10" s="2970" t="s">
        <v>3060</v>
      </c>
      <c r="D10" s="2038"/>
      <c r="E10" s="2056" t="s">
        <v>1782</v>
      </c>
      <c r="F10" s="2057"/>
      <c r="G10" s="2058"/>
      <c r="H10" s="2059"/>
      <c r="I10" s="2038"/>
      <c r="J10" s="2033"/>
      <c r="K10" s="2045"/>
      <c r="L10" s="2019"/>
      <c r="M10" s="2019"/>
      <c r="N10" s="2020"/>
      <c r="O10" s="2021"/>
      <c r="P10" s="2020"/>
      <c r="Q10" s="2020"/>
      <c r="R10" s="2020"/>
    </row>
    <row r="11" spans="1:19" ht="18" customHeight="1">
      <c r="A11" s="2060" t="s">
        <v>1783</v>
      </c>
      <c r="B11" s="2061" t="s">
        <v>3061</v>
      </c>
      <c r="C11" s="2062"/>
      <c r="D11" s="2063"/>
      <c r="E11" s="2033"/>
      <c r="F11" s="2033"/>
      <c r="G11" s="2033"/>
      <c r="H11" s="2033"/>
      <c r="I11" s="2033"/>
      <c r="J11" s="2033"/>
      <c r="K11" s="2045"/>
      <c r="L11" s="2019"/>
      <c r="M11" s="2019"/>
      <c r="N11" s="2020"/>
      <c r="O11" s="2021"/>
      <c r="P11" s="2020"/>
      <c r="Q11" s="2020"/>
      <c r="R11" s="2020"/>
    </row>
    <row r="12" spans="1:19" ht="18" customHeight="1">
      <c r="A12" s="2064" t="s">
        <v>1784</v>
      </c>
      <c r="B12" s="2061" t="s">
        <v>3062</v>
      </c>
      <c r="C12" s="2065" t="s">
        <v>1785</v>
      </c>
      <c r="D12" s="2066" t="s">
        <v>1786</v>
      </c>
      <c r="E12" s="2066" t="s">
        <v>1787</v>
      </c>
      <c r="F12" s="2066" t="s">
        <v>1788</v>
      </c>
      <c r="G12" s="2066" t="s">
        <v>1789</v>
      </c>
      <c r="H12" s="2066" t="s">
        <v>1790</v>
      </c>
      <c r="I12" s="2066" t="s">
        <v>1791</v>
      </c>
      <c r="J12" s="2033"/>
      <c r="K12" s="2045"/>
      <c r="L12" s="2019"/>
      <c r="M12" s="2019"/>
      <c r="N12" s="2020"/>
      <c r="O12" s="2021"/>
      <c r="P12" s="2020"/>
      <c r="Q12" s="2020"/>
      <c r="R12" s="2020"/>
    </row>
    <row r="13" spans="1:19" ht="18" customHeight="1">
      <c r="A13" s="2067"/>
      <c r="B13" s="2068"/>
      <c r="C13" s="2069" t="s">
        <v>1792</v>
      </c>
      <c r="D13" s="2070"/>
      <c r="E13" s="2070">
        <v>52785</v>
      </c>
      <c r="F13" s="2070"/>
      <c r="G13" s="2070"/>
      <c r="H13" s="2070"/>
      <c r="I13" s="1047"/>
      <c r="J13" s="2033"/>
      <c r="K13" s="2045"/>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4"/>
      <c r="B15" s="2072"/>
      <c r="C15" s="2069" t="s">
        <v>1794</v>
      </c>
      <c r="D15" s="1049" t="str">
        <f>IF(B12="出让",IF(D13="","",ROUNDDOWN(MIN((D13-$D$3)/365,D14),2)),D14)</f>
        <v/>
      </c>
      <c r="E15" s="1049">
        <f>IF(B12="出让",IF(E13="","",ROUNDDOWN(MIN((E13-$D$3)/365,E14),2)),E14)</f>
        <v>24.01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38"/>
      <c r="C16" s="3039"/>
      <c r="D16" s="3040"/>
      <c r="E16" s="2076" t="s">
        <v>1796</v>
      </c>
      <c r="F16" s="3041"/>
      <c r="G16" s="3042"/>
      <c r="H16" s="3042"/>
      <c r="I16" s="3043"/>
      <c r="J16" s="2020"/>
      <c r="K16" s="2073"/>
      <c r="L16" s="2074"/>
      <c r="M16" s="2074"/>
      <c r="N16" s="2075"/>
      <c r="O16" s="2074"/>
      <c r="P16" s="2075"/>
      <c r="Q16" s="2020"/>
      <c r="R16" s="2020"/>
    </row>
    <row r="17" spans="1:22" ht="18" customHeight="1">
      <c r="A17" s="2077" t="s">
        <v>1797</v>
      </c>
      <c r="B17" s="2026" t="s">
        <v>1798</v>
      </c>
      <c r="C17" s="1054">
        <f>'数据-汇总表'!E3</f>
        <v>7400</v>
      </c>
      <c r="D17" s="2078" t="s">
        <v>1799</v>
      </c>
      <c r="E17" s="3044" t="s">
        <v>1800</v>
      </c>
      <c r="F17" s="3045"/>
      <c r="G17" s="3045"/>
      <c r="H17" s="3045"/>
      <c r="I17" s="3046"/>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47" t="s">
        <v>1803</v>
      </c>
      <c r="F18" s="3048"/>
      <c r="G18" s="3048"/>
      <c r="H18" s="3048"/>
      <c r="I18" s="3049"/>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5"/>
      <c r="L19" s="2019"/>
      <c r="M19" s="2019"/>
      <c r="N19" s="2075"/>
      <c r="O19" s="2074"/>
      <c r="P19" s="2075"/>
      <c r="Q19" s="2020"/>
      <c r="R19" s="2020"/>
      <c r="S19" s="2020"/>
      <c r="T19" s="2020"/>
      <c r="U19" s="2020"/>
      <c r="V19" s="2020"/>
    </row>
    <row r="20" spans="1:22" ht="18" customHeight="1">
      <c r="A20" s="2087" t="s">
        <v>1807</v>
      </c>
      <c r="B20" s="3034" t="s">
        <v>1808</v>
      </c>
      <c r="C20" s="3035"/>
      <c r="D20" s="3036" t="s">
        <v>1809</v>
      </c>
      <c r="E20" s="3037"/>
      <c r="F20" s="2088" t="s">
        <v>1810</v>
      </c>
      <c r="G20" s="2033"/>
      <c r="H20" s="2033"/>
      <c r="I20" s="2033"/>
      <c r="J20" s="2033"/>
      <c r="K20" s="303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5"/>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3"/>
      <c r="H26" s="2053"/>
      <c r="I26" s="2053"/>
      <c r="J26" s="2033"/>
      <c r="K26" s="2045"/>
      <c r="L26" s="2019"/>
      <c r="M26" s="2019"/>
      <c r="N26" s="2075"/>
      <c r="O26" s="2074"/>
      <c r="P26" s="2075"/>
      <c r="Q26" s="2020"/>
      <c r="R26" s="2020"/>
      <c r="S26" s="2020"/>
      <c r="T26" s="2020"/>
      <c r="U26" s="2020"/>
      <c r="V26" s="2020"/>
    </row>
    <row r="27" spans="1:22" ht="18" customHeight="1" thickTop="1">
      <c r="A27" s="3021" t="s">
        <v>1823</v>
      </c>
      <c r="B27" s="2054"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21"/>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21"/>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22"/>
      <c r="B30" s="2026" t="s">
        <v>1827</v>
      </c>
      <c r="C30" s="3023"/>
      <c r="D30" s="3024"/>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25" t="s">
        <v>1828</v>
      </c>
      <c r="B31" s="2117"/>
      <c r="C31" s="2118" t="str">
        <f>IF(B31="现房","成新及维护状况正常否",IF(B31="在建","工程状态是否正常",IF(B31="土地","是否闲置","-")))</f>
        <v>-</v>
      </c>
      <c r="D31" s="2119"/>
      <c r="E31" s="2120"/>
      <c r="F31" s="2033"/>
      <c r="G31" s="2033"/>
      <c r="H31" s="2033"/>
      <c r="I31" s="2033"/>
      <c r="J31" s="2033"/>
      <c r="K31" s="2043"/>
      <c r="L31" s="2019"/>
      <c r="M31" s="2019"/>
      <c r="N31" s="2020"/>
      <c r="O31" s="2021"/>
      <c r="P31" s="2020"/>
      <c r="Q31" s="2020"/>
      <c r="R31" s="2020"/>
      <c r="S31" s="2020"/>
      <c r="T31" s="2020"/>
      <c r="U31" s="2020"/>
      <c r="V31" s="2020"/>
    </row>
    <row r="32" spans="1:22" ht="18" customHeight="1">
      <c r="A32" s="3026"/>
      <c r="B32" s="2117"/>
      <c r="C32" s="2118" t="str">
        <f>IF(B32="现房","成新及维护状况是否正常",IF(B32="在建","工程状态是否正常",IF(B32="土地","是否闲置","-")))</f>
        <v>-</v>
      </c>
      <c r="D32" s="2119"/>
      <c r="E32" s="2120"/>
      <c r="F32" s="2033"/>
      <c r="G32" s="2033"/>
      <c r="H32" s="2033"/>
      <c r="I32" s="2033"/>
      <c r="J32" s="2033"/>
      <c r="K32" s="2045"/>
      <c r="L32" s="2019"/>
      <c r="M32" s="2019"/>
      <c r="N32" s="2020"/>
      <c r="O32" s="2021"/>
      <c r="P32" s="2020"/>
      <c r="Q32" s="2020"/>
      <c r="R32" s="2020"/>
      <c r="S32" s="2020"/>
      <c r="T32" s="2020"/>
      <c r="U32" s="2020"/>
      <c r="V32" s="2020"/>
    </row>
    <row r="33" spans="1:22" ht="18" customHeight="1">
      <c r="A33" s="3026"/>
      <c r="B33" s="2121"/>
      <c r="C33" s="2060" t="str">
        <f>IF(B33="现房","成新及维护状况是否正常",IF(B33="在建","工程状态是否正常",IF(B33="土地","是否闲置","-")))</f>
        <v>-</v>
      </c>
      <c r="D33" s="2122"/>
      <c r="E33" s="2123"/>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4"/>
      <c r="C34" s="2124"/>
      <c r="D34" s="2124"/>
      <c r="E34" s="2124"/>
      <c r="F34" s="2124"/>
      <c r="G34" s="2124"/>
      <c r="H34" s="2124"/>
      <c r="I34" s="2033"/>
      <c r="J34" s="2033"/>
      <c r="K34" s="1787">
        <f>COUNTIF(B34:H34,"——")</f>
        <v>0</v>
      </c>
      <c r="L34" s="2065" t="s">
        <v>1830</v>
      </c>
      <c r="M34" s="2065" t="s">
        <v>1831</v>
      </c>
      <c r="N34" s="2065" t="s">
        <v>1832</v>
      </c>
      <c r="O34" s="2065" t="s">
        <v>1833</v>
      </c>
      <c r="P34" s="2065" t="s">
        <v>1834</v>
      </c>
      <c r="Q34" s="2065" t="s">
        <v>1835</v>
      </c>
      <c r="R34" s="2065" t="s">
        <v>1836</v>
      </c>
      <c r="S34" s="3020" t="s">
        <v>1837</v>
      </c>
      <c r="T34" s="2125" t="str">
        <f>NUMBERSTRING(7-K34,1)&amp;"通"</f>
        <v>七通</v>
      </c>
      <c r="U34" s="2020"/>
      <c r="V34" s="2020"/>
    </row>
    <row r="35" spans="1:22" ht="18" customHeight="1">
      <c r="A35" s="2126"/>
      <c r="B35" s="3027" t="s">
        <v>1838</v>
      </c>
      <c r="C35" s="3027"/>
      <c r="D35" s="3027"/>
      <c r="E35" s="3027"/>
      <c r="F35" s="2127" t="str">
        <f>C10</f>
        <v>同观商业中心</v>
      </c>
      <c r="G35" s="2033"/>
      <c r="H35" s="2033"/>
      <c r="I35" s="2033"/>
      <c r="J35" s="2033"/>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0"/>
      <c r="V35" s="2020"/>
    </row>
    <row r="36" spans="1:22" ht="18" customHeight="1">
      <c r="A36" s="2128"/>
      <c r="B36" s="2127" t="s">
        <v>1839</v>
      </c>
      <c r="C36" s="2127" t="s">
        <v>1840</v>
      </c>
      <c r="D36" s="2127" t="s">
        <v>1841</v>
      </c>
      <c r="E36" s="2127" t="s">
        <v>1842</v>
      </c>
      <c r="F36" s="2129"/>
      <c r="G36" s="2033"/>
      <c r="H36" s="2033"/>
      <c r="I36" s="2033"/>
      <c r="J36" s="2033"/>
      <c r="K36" s="2045"/>
      <c r="L36" s="2019"/>
      <c r="M36" s="2019"/>
      <c r="N36" s="2020"/>
      <c r="O36" s="2021"/>
      <c r="P36" s="2020"/>
      <c r="Q36" s="2020"/>
      <c r="R36" s="2020"/>
      <c r="S36" s="2020"/>
      <c r="T36" s="2020"/>
      <c r="U36" s="2020"/>
      <c r="V36" s="2020"/>
    </row>
    <row r="37" spans="1:22" ht="18" customHeight="1">
      <c r="A37" s="2130" t="s">
        <v>1843</v>
      </c>
      <c r="B37" s="2131" t="s">
        <v>137</v>
      </c>
      <c r="C37" s="2131"/>
      <c r="D37" s="2131"/>
      <c r="E37" s="2131"/>
      <c r="F37" s="2129"/>
      <c r="G37" s="2033"/>
      <c r="H37" s="2033"/>
      <c r="I37" s="2033"/>
      <c r="J37" s="2033"/>
      <c r="K37" s="2045"/>
      <c r="L37" s="2019"/>
      <c r="M37" s="2019"/>
      <c r="N37" s="2020"/>
      <c r="O37" s="2021"/>
      <c r="P37" s="2020"/>
      <c r="Q37" s="2020"/>
      <c r="R37" s="2020"/>
      <c r="S37" s="2020"/>
      <c r="T37" s="2020"/>
      <c r="U37" s="2020"/>
      <c r="V37" s="2020"/>
    </row>
    <row r="38" spans="1:22" ht="18" customHeight="1" thickBot="1">
      <c r="A38" s="2132" t="s">
        <v>1844</v>
      </c>
      <c r="B38" s="2133" t="s">
        <v>190</v>
      </c>
      <c r="C38" s="2133"/>
      <c r="D38" s="2133"/>
      <c r="E38" s="2133"/>
      <c r="F38" s="2134"/>
      <c r="G38" s="2053"/>
      <c r="H38" s="2053"/>
      <c r="I38" s="2053"/>
      <c r="J38" s="2033"/>
      <c r="K38" s="2045"/>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4" sqref="C4"/>
      <selection pane="topRight" activeCell="C4" sqref="C4"/>
      <selection pane="bottomLeft" activeCell="C4" sqref="C4"/>
      <selection pane="bottomRight" activeCell="C4" sqref="C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7400</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7400</v>
      </c>
      <c r="H5" s="16">
        <f t="shared" ref="H5:AT5" si="0">SUM(H13:H656)</f>
        <v>7400</v>
      </c>
      <c r="I5" s="16">
        <f t="shared" si="0"/>
        <v>6400</v>
      </c>
      <c r="J5" s="16">
        <f t="shared" si="0"/>
        <v>0</v>
      </c>
      <c r="K5" s="16">
        <f t="shared" si="0"/>
        <v>1000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7400</v>
      </c>
      <c r="BA5" s="18">
        <f t="shared" si="1"/>
        <v>7400</v>
      </c>
      <c r="BB5" s="18">
        <f t="shared" si="1"/>
        <v>6400</v>
      </c>
      <c r="BC5" s="18">
        <f t="shared" si="1"/>
        <v>1000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3065</v>
      </c>
      <c r="J9" s="981"/>
      <c r="K9" s="2182" t="s">
        <v>3066</v>
      </c>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t="s">
        <v>1372</v>
      </c>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3068</v>
      </c>
      <c r="D13" s="2204" t="s">
        <v>3067</v>
      </c>
      <c r="E13" s="16">
        <f>IF($C$3="是",ROUND($A$3*G13/$B$3,2),ROUND($A$3*(G13-AT13)/$B$3,2))</f>
        <v>0</v>
      </c>
      <c r="F13" s="32"/>
      <c r="G13" s="33">
        <f>H13+AC13+AT13</f>
        <v>1900</v>
      </c>
      <c r="H13" s="20">
        <f>SUMIF(I$12:AB$12,"总值",I13:AB13)</f>
        <v>1900</v>
      </c>
      <c r="I13" s="2205">
        <v>1900</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1900</v>
      </c>
      <c r="BA13" s="16">
        <f>SUM(BB13:BK13)</f>
        <v>1900</v>
      </c>
      <c r="BB13" s="16">
        <f>IF($D13="是",I13-J13,0)</f>
        <v>1900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2144" t="s">
        <v>3069</v>
      </c>
      <c r="D14" s="2204" t="s">
        <v>3067</v>
      </c>
      <c r="E14" s="16">
        <f>IF($C$3="是",ROUND($A$3*G14/$B$3,2),ROUND($A$3*(G14-AT14)/$B$3,2))</f>
        <v>0</v>
      </c>
      <c r="F14" s="32"/>
      <c r="G14" s="33">
        <f>H14+AC14+AT14</f>
        <v>2900</v>
      </c>
      <c r="H14" s="20">
        <f>SUMIF(I$12:AB$12,"总值",I14:AB14)</f>
        <v>2900</v>
      </c>
      <c r="I14" s="2205">
        <v>2900</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2900</v>
      </c>
      <c r="BA14" s="16">
        <f>SUM(BB14:BK14)</f>
        <v>2900</v>
      </c>
      <c r="BB14" s="16">
        <f>IF($D14="是",I14-J14,0)</f>
        <v>2900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t="s">
        <v>3070</v>
      </c>
      <c r="D15" s="2204" t="s">
        <v>3067</v>
      </c>
      <c r="E15" s="16">
        <f>IF($C$3="是",ROUND($A$3*G15/$B$3,2),ROUND($A$3*(G15-AT15)/$B$3,2))</f>
        <v>0</v>
      </c>
      <c r="F15" s="32"/>
      <c r="G15" s="33">
        <f>H15+AC15+AT15</f>
        <v>1600</v>
      </c>
      <c r="H15" s="20">
        <f>SUMIF(I$12:AB$12,"总值",I15:AB15)</f>
        <v>1600</v>
      </c>
      <c r="I15" s="2205">
        <v>1600</v>
      </c>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3层</v>
      </c>
      <c r="AY15" s="1798">
        <f>ROUND($AY$6*AZ15/$AZ$5,2)</f>
        <v>0</v>
      </c>
      <c r="AZ15" s="16">
        <f>BA15+BL15</f>
        <v>1600</v>
      </c>
      <c r="BA15" s="16">
        <f>SUM(BB15:BK15)</f>
        <v>1600</v>
      </c>
      <c r="BB15" s="16">
        <f>IF($D15="是",I15-J15,0)</f>
        <v>1600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t="s">
        <v>3071</v>
      </c>
      <c r="D16" s="2204" t="s">
        <v>3067</v>
      </c>
      <c r="E16" s="16">
        <f>IF($C$3="是",ROUND($A$3*G16/$B$3,2),ROUND($A$3*(G16-AT16)/$B$3,2))</f>
        <v>0</v>
      </c>
      <c r="F16" s="32"/>
      <c r="G16" s="33">
        <f>H16+AC16+AT16</f>
        <v>1000</v>
      </c>
      <c r="H16" s="20">
        <f>SUMIF(I$12:AB$12,"总值",I16:AB16)</f>
        <v>1000</v>
      </c>
      <c r="I16" s="2205"/>
      <c r="J16" s="2205"/>
      <c r="K16" s="2205">
        <v>1000</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地下1层</v>
      </c>
      <c r="AY16" s="1798">
        <f>ROUND($AY$6*AZ16/$AZ$5,2)</f>
        <v>0</v>
      </c>
      <c r="AZ16" s="16">
        <f>BA16+BL16</f>
        <v>1000</v>
      </c>
      <c r="BA16" s="16">
        <f>SUM(BB16:BK16)</f>
        <v>1000</v>
      </c>
      <c r="BB16" s="16">
        <f>IF($D16="是",I16-J16,0)</f>
        <v>0</v>
      </c>
      <c r="BC16" s="16">
        <f>IF($D16="是",K16-L16,0)</f>
        <v>1000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A4" sqref="A4:C4"/>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61" t="s">
        <v>1934</v>
      </c>
      <c r="B2" s="3061"/>
      <c r="C2" s="3061"/>
      <c r="D2" s="967" t="s">
        <v>1910</v>
      </c>
      <c r="E2" s="2218" t="s">
        <v>1911</v>
      </c>
      <c r="F2" s="1392"/>
      <c r="G2" s="2219"/>
      <c r="H2" s="2220"/>
      <c r="I2" s="2221" t="s">
        <v>1935</v>
      </c>
      <c r="J2" s="1392"/>
      <c r="K2" s="1392"/>
      <c r="L2" s="1392"/>
      <c r="M2" s="1392"/>
      <c r="N2" s="1427"/>
      <c r="O2" s="1392"/>
      <c r="P2" s="1392"/>
    </row>
    <row r="3" spans="1:16" ht="15.75" thickBot="1">
      <c r="A3" s="3062" t="s">
        <v>1908</v>
      </c>
      <c r="B3" s="3062"/>
      <c r="C3" s="3062"/>
      <c r="D3" s="46">
        <f>'数据-基础表'!AY6</f>
        <v>0</v>
      </c>
      <c r="E3" s="46">
        <f>'数据-基础表'!AZ5</f>
        <v>7400</v>
      </c>
      <c r="F3" s="1392"/>
      <c r="G3" s="1399"/>
      <c r="H3" s="1247" t="s">
        <v>1909</v>
      </c>
      <c r="I3" s="55" t="e">
        <f>ROUND('数据-基础表'!B3/'数据-基础表'!A3,2)</f>
        <v>#DIV/0!</v>
      </c>
      <c r="J3" s="1392"/>
      <c r="K3" s="1392"/>
      <c r="L3" s="1392"/>
      <c r="M3" s="1392"/>
      <c r="N3" s="1427"/>
      <c r="O3" s="1392"/>
      <c r="P3" s="1392"/>
    </row>
    <row r="4" spans="1:16" ht="15">
      <c r="A4" s="3063"/>
      <c r="B4" s="3064"/>
      <c r="C4" s="3065"/>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66" t="s">
        <v>1913</v>
      </c>
      <c r="C5" s="3066"/>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66" t="s">
        <v>1914</v>
      </c>
      <c r="C6" s="3066"/>
      <c r="D6" s="48">
        <f>ROUND($D$3*E6/$E$3,2)</f>
        <v>0</v>
      </c>
      <c r="E6" s="49">
        <f>E3-E5</f>
        <v>7400</v>
      </c>
      <c r="F6" s="1392"/>
      <c r="G6" s="2226" t="s">
        <v>1915</v>
      </c>
      <c r="H6" s="1399" t="s">
        <v>1916</v>
      </c>
      <c r="I6" s="939" t="e">
        <f>ROUND(F31/D31,2)</f>
        <v>#DIV/0!</v>
      </c>
      <c r="J6" s="1392"/>
      <c r="K6" s="1392"/>
      <c r="L6" s="1392"/>
      <c r="M6" s="1392"/>
      <c r="N6" s="1392"/>
      <c r="O6" s="1392"/>
      <c r="P6" s="1392"/>
    </row>
    <row r="7" spans="1:16" ht="15">
      <c r="A7" s="3058"/>
      <c r="B7" s="3059"/>
      <c r="C7" s="3060"/>
      <c r="D7" s="2222" t="s">
        <v>1910</v>
      </c>
      <c r="E7" s="2227" t="s">
        <v>1917</v>
      </c>
      <c r="F7" s="1392"/>
      <c r="G7" s="2219" t="s">
        <v>1918</v>
      </c>
      <c r="H7" s="64"/>
      <c r="I7" s="420">
        <v>2.5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6400</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1000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7400</v>
      </c>
      <c r="F16" s="1392"/>
      <c r="G16" s="2228"/>
      <c r="H16" s="2231" t="s">
        <v>1938</v>
      </c>
      <c r="I16" s="2232"/>
      <c r="J16" s="1392"/>
      <c r="K16" s="3055" t="s">
        <v>1938</v>
      </c>
      <c r="L16" s="3056"/>
      <c r="M16" s="3056"/>
      <c r="N16" s="3056"/>
      <c r="O16" s="3056"/>
      <c r="P16" s="3057"/>
    </row>
    <row r="17" spans="1:19" ht="15">
      <c r="A17" s="2233" t="s">
        <v>1939</v>
      </c>
      <c r="B17" s="2234" t="s">
        <v>1940</v>
      </c>
      <c r="C17" s="2235" t="s">
        <v>1941</v>
      </c>
      <c r="D17" s="2236" t="s">
        <v>1929</v>
      </c>
      <c r="E17" s="2237" t="s">
        <v>1930</v>
      </c>
      <c r="F17" s="2238"/>
      <c r="G17" s="2239"/>
      <c r="H17" s="2240" t="s">
        <v>1942</v>
      </c>
      <c r="I17" s="2241" t="s">
        <v>1927</v>
      </c>
      <c r="J17" s="1392"/>
      <c r="K17" s="3052" t="s">
        <v>1943</v>
      </c>
      <c r="L17" s="3053"/>
      <c r="M17" s="3054"/>
      <c r="N17" s="3052" t="s">
        <v>1944</v>
      </c>
      <c r="O17" s="3053"/>
      <c r="P17" s="3054"/>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71" t="s">
        <v>3075</v>
      </c>
      <c r="D19" s="48">
        <f>ROUND($D$3*E19/$E$3,2)</f>
        <v>0</v>
      </c>
      <c r="E19" s="56">
        <f t="shared" ref="E19:E26" si="1">SUM(F19:G19)</f>
        <v>7400</v>
      </c>
      <c r="F19" s="57">
        <v>6400</v>
      </c>
      <c r="G19" s="58">
        <f>'数据-基础表'!K5</f>
        <v>1000</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7400</v>
      </c>
    </row>
    <row r="20" spans="1:19">
      <c r="A20" s="2254"/>
      <c r="B20" s="50" t="s">
        <v>1956</v>
      </c>
      <c r="C20" s="225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0</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7400</v>
      </c>
      <c r="F27" s="1393">
        <f>IF(SUM(F19:F26)=E8,SUM(F19:F26),"地上面积有误")</f>
        <v>6400</v>
      </c>
      <c r="G27" s="1395">
        <f>SUM(G19:G26)</f>
        <v>1000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7400</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7400</v>
      </c>
      <c r="F31" s="730">
        <f>F27+F30</f>
        <v>6400</v>
      </c>
      <c r="G31" s="731">
        <f>G27+G30</f>
        <v>1000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4" sqref="C4"/>
      <selection pane="topRight" activeCell="C4" sqref="C4"/>
      <selection pane="bottomLeft" activeCell="C4" sqref="C4"/>
      <selection pane="bottomRight" activeCell="L7" sqref="L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44019</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3095</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v>
      </c>
      <c r="B6" s="2298" t="str">
        <f>IF(A6=0,"","经营性")</f>
        <v>经营性</v>
      </c>
      <c r="C6" s="2299" t="s">
        <v>1372</v>
      </c>
      <c r="D6" s="1051">
        <f>SUMIF(项目基本情况!D$12:I$12,C6,项目基本情况!D$14:I$14)</f>
        <v>40</v>
      </c>
      <c r="E6" s="1048">
        <f>IF(B6="","",SUMIF(项目基本情况!D$12:I$12,C6,项目基本情况!D$13:I$13))</f>
        <v>52785</v>
      </c>
      <c r="F6" s="72">
        <f>SUMIF(项目基本情况!D$12:I$12,C6,项目基本情况!D$15:I$15)</f>
        <v>24.01</v>
      </c>
      <c r="G6" s="73">
        <f>IF(ISERROR(ROUND(POWER(1+H6,D6-F6)*(POWER(1+H6,F6)-1)/(POWER(1+H6,D6)-1),3)),0,ROUND(POWER(1+H6,D6-F6)*(POWER(1+H6,F6)-1)/(POWER(1+H6,D6)-1),3))</f>
        <v>0.78800000000000003</v>
      </c>
      <c r="H6" s="802">
        <v>4.4999999999999998E-2</v>
      </c>
      <c r="I6" s="802">
        <v>0.05</v>
      </c>
      <c r="J6" s="74"/>
      <c r="K6" s="1251">
        <f>SUMIF('数据-汇总表'!C$19:C$33,A6,'数据-汇总表'!E$19:E$33)</f>
        <v>7400</v>
      </c>
      <c r="L6" s="803">
        <v>2500</v>
      </c>
      <c r="M6" s="75">
        <f t="shared" ref="M6:M14" si="0">ROUND(K6*L6/10000,0)</f>
        <v>1850</v>
      </c>
      <c r="N6" s="801">
        <v>0.75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12</v>
      </c>
      <c r="V6" s="79">
        <v>2.5000000000000001E-2</v>
      </c>
      <c r="W6" s="79">
        <v>0.1</v>
      </c>
      <c r="X6" s="1261"/>
      <c r="Y6" s="80">
        <f>N6</f>
        <v>0.75</v>
      </c>
      <c r="Z6" s="81"/>
      <c r="AA6" s="74"/>
      <c r="AB6" s="74"/>
      <c r="AC6" s="1261"/>
      <c r="AD6" s="82"/>
      <c r="AE6" s="1262">
        <f ca="1">IF(AN6="",0,SUMIF(INDIRECT("'"&amp;AN6&amp;"'"&amp;"!E:E"),$AE$5,INDIRECT("'"&amp;AN6&amp;"'"&amp;"!F:F")))</f>
        <v>24.01</v>
      </c>
      <c r="AF6" s="1796"/>
      <c r="AG6" s="147">
        <f>IF(AF6="",0,AE6-AF6)</f>
        <v>0</v>
      </c>
      <c r="AH6" s="83">
        <f>'数据-基础表'!I13</f>
        <v>1900</v>
      </c>
      <c r="AI6" s="85">
        <v>365</v>
      </c>
      <c r="AJ6" s="86"/>
      <c r="AK6" s="87">
        <v>1.4999999999999999E-2</v>
      </c>
      <c r="AL6" s="88">
        <v>1.5E-3</v>
      </c>
      <c r="AM6" s="89">
        <v>0.01</v>
      </c>
      <c r="AN6" s="2300" t="s">
        <v>3096</v>
      </c>
      <c r="AO6" s="55">
        <f ca="1">SUMIF(INDIRECT("'"&amp;AN6&amp;"'"&amp;"!A:A"),"总价",INDIRECT("'"&amp;AN6&amp;"'"&amp;"!B:B"))</f>
        <v>10635</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0.78800000000000003</v>
      </c>
      <c r="H16" s="99">
        <f>ROUND(SUMPRODUCT(H6:H13,K6:K13)/SUMPRODUCT((H6:H13&gt;0)*(K6:K13)),3)</f>
        <v>4.4999999999999998E-2</v>
      </c>
      <c r="I16" s="100"/>
      <c r="J16" s="100"/>
      <c r="K16" s="101">
        <f>SUM(K6:K15)</f>
        <v>7400</v>
      </c>
      <c r="L16" s="102">
        <f>ROUND(M16*10000/SUM(K6:K14),0)</f>
        <v>2500</v>
      </c>
      <c r="M16" s="102">
        <f>SUM(M6:M14)</f>
        <v>1850</v>
      </c>
      <c r="N16" s="103">
        <f>ROUND(SUMPRODUCT(M6:M14,N6:N14)/M16,3)</f>
        <v>0.75</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1</v>
      </c>
      <c r="C20" s="2268" t="s">
        <v>2017</v>
      </c>
      <c r="D20" s="2269"/>
      <c r="E20" s="2268"/>
      <c r="F20" s="2268"/>
      <c r="G20" s="2268"/>
      <c r="H20" s="2268"/>
      <c r="I20" s="2268"/>
      <c r="J20" s="226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1</v>
      </c>
      <c r="C21" s="2268"/>
      <c r="D21" s="2269"/>
      <c r="E21" s="2268"/>
      <c r="F21" s="2268"/>
      <c r="G21" s="2268"/>
      <c r="H21" s="2268"/>
      <c r="I21" s="2268"/>
      <c r="J21" s="226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1</v>
      </c>
      <c r="C22" s="2268"/>
      <c r="D22" s="2269"/>
      <c r="E22" s="2268"/>
      <c r="F22" s="2268"/>
      <c r="G22" s="2268"/>
      <c r="H22" s="2268"/>
      <c r="I22" s="2268"/>
      <c r="J22" s="226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1</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200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160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4.3499999999999997E-2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0</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4" sqref="C4"/>
      <selection pane="topRight" activeCell="C4" sqref="C4"/>
      <selection pane="bottomLeft" activeCell="C4" sqref="C4"/>
      <selection pane="bottomRight" activeCell="C4" sqref="C4"/>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67" t="s">
        <v>2079</v>
      </c>
      <c r="B1" s="3068"/>
      <c r="C1" s="3068"/>
      <c r="D1" s="3068"/>
      <c r="E1" s="3068"/>
      <c r="F1" s="3068"/>
      <c r="G1" s="3068"/>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7"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7" t="s">
        <v>2091</v>
      </c>
      <c r="C5" s="2364" t="s">
        <v>2092</v>
      </c>
      <c r="D5" s="2361"/>
      <c r="E5" s="2365"/>
      <c r="F5" s="1787" t="s">
        <v>2093</v>
      </c>
      <c r="G5" s="2366" t="s">
        <v>2094</v>
      </c>
      <c r="H5" s="2358"/>
      <c r="I5" s="2358"/>
      <c r="J5" s="2358"/>
      <c r="K5" s="2358"/>
      <c r="L5" s="2358"/>
      <c r="M5" s="2358"/>
      <c r="N5" s="2358"/>
      <c r="O5" s="2358"/>
      <c r="P5" s="2358"/>
      <c r="Q5" s="2358"/>
      <c r="R5" s="2358"/>
    </row>
    <row r="6" spans="1:29" ht="54">
      <c r="A6" s="431"/>
      <c r="B6" s="1787" t="s">
        <v>2095</v>
      </c>
      <c r="C6" s="2366" t="s">
        <v>2090</v>
      </c>
      <c r="D6" s="2361"/>
      <c r="E6" s="2365"/>
      <c r="F6" s="1787" t="s">
        <v>2096</v>
      </c>
      <c r="G6" s="2366" t="s">
        <v>2097</v>
      </c>
      <c r="H6" s="2358"/>
      <c r="I6" s="2358"/>
      <c r="J6" s="2358"/>
      <c r="K6" s="2358"/>
      <c r="L6" s="2358"/>
      <c r="M6" s="2358"/>
      <c r="N6" s="2358"/>
      <c r="O6" s="2358"/>
      <c r="P6" s="2358"/>
      <c r="Q6" s="2358"/>
      <c r="R6" s="2358"/>
    </row>
    <row r="7" spans="1:29" ht="41.25" thickBot="1">
      <c r="A7" s="431"/>
      <c r="B7" s="1787"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7" t="s">
        <v>2096</v>
      </c>
      <c r="C8" s="2366" t="s">
        <v>2097</v>
      </c>
      <c r="D8" s="2367"/>
      <c r="E8" s="2367"/>
      <c r="F8" s="1133"/>
      <c r="G8" s="1133"/>
      <c r="H8" s="2358"/>
      <c r="I8" s="2358"/>
      <c r="J8" s="2358"/>
      <c r="K8" s="2358"/>
      <c r="L8" s="2358"/>
      <c r="M8" s="2358"/>
      <c r="N8" s="2358"/>
      <c r="O8" s="2358"/>
      <c r="P8" s="2358"/>
      <c r="Q8" s="2358"/>
      <c r="R8" s="2358"/>
    </row>
    <row r="9" spans="1:29" ht="27">
      <c r="A9" s="431"/>
      <c r="B9" s="1787"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9"/>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9"/>
      <c r="D19" s="2361"/>
      <c r="E19" s="2397"/>
      <c r="F19" s="1787"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7" t="s">
        <v>2112</v>
      </c>
      <c r="G20" s="136" t="str">
        <f>G6</f>
        <v>估价对象所在区域基础设施水平</v>
      </c>
    </row>
    <row r="21" spans="1:18" ht="28.5">
      <c r="A21" s="645"/>
      <c r="B21" s="1787" t="s">
        <v>2093</v>
      </c>
      <c r="C21" s="136" t="str">
        <f>C7</f>
        <v>估价对象所在区域公共配套设施齐备情况</v>
      </c>
      <c r="D21" s="2361"/>
      <c r="E21" s="2397"/>
      <c r="F21" s="2398" t="s">
        <v>2113</v>
      </c>
      <c r="G21" s="2399"/>
    </row>
    <row r="22" spans="1:18" ht="13.5" customHeight="1">
      <c r="A22" s="645"/>
      <c r="B22" s="1787" t="s">
        <v>2096</v>
      </c>
      <c r="C22" s="136" t="str">
        <f>C8</f>
        <v>估价对象所在区域基础设施水平</v>
      </c>
      <c r="D22" s="2361"/>
      <c r="E22" s="2397"/>
      <c r="F22" s="2398" t="s">
        <v>2102</v>
      </c>
      <c r="G22" s="1569"/>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4" sqref="C4"/>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7400</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44019</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31500</v>
      </c>
      <c r="C5" s="2952">
        <f ca="1">ROUND(B5*10000/$B$1,0)</f>
        <v>42568</v>
      </c>
      <c r="D5" s="2952" t="e">
        <f ca="1">ROUND(B5*10000/$B$2,0)</f>
        <v>#DIV/0!</v>
      </c>
      <c r="E5" s="2949"/>
      <c r="F5" s="2950"/>
      <c r="G5" s="2950"/>
    </row>
    <row r="6" spans="1:10" ht="16.5">
      <c r="A6" s="2952" t="s">
        <v>1351</v>
      </c>
      <c r="B6" s="2952">
        <f ca="1">SUM(G14:G23)</f>
        <v>31500</v>
      </c>
      <c r="C6" s="2952">
        <f ca="1">ROUND(B6*10000/$B$1,0)</f>
        <v>42568</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7400</v>
      </c>
      <c r="C14" s="2957">
        <f>结果表!C118</f>
        <v>0</v>
      </c>
      <c r="D14" s="2957">
        <f ca="1">结果表!H118</f>
        <v>31500</v>
      </c>
      <c r="E14" s="2955">
        <f ca="1">ROUND(D14*10000/B14,0)</f>
        <v>42568</v>
      </c>
      <c r="F14" s="2955" t="e">
        <f ca="1">ROUND(D14*10000/C14,0)</f>
        <v>#DIV/0!</v>
      </c>
      <c r="G14" s="2957">
        <f ca="1">结果表!D122</f>
        <v>31500</v>
      </c>
      <c r="H14" s="2957" t="str">
        <f>结果表!D124</f>
        <v>——</v>
      </c>
      <c r="I14" s="2957" t="str">
        <f>结果表!D126</f>
        <v>——</v>
      </c>
      <c r="J14" s="2950"/>
    </row>
    <row r="15" spans="1:10" ht="16.5">
      <c r="A15" s="2956" t="s">
        <v>1344</v>
      </c>
      <c r="B15" s="1739"/>
      <c r="C15" s="1739"/>
      <c r="D15" s="1739"/>
      <c r="E15" s="2955" t="e">
        <f t="shared" ref="E15:E23" si="0">ROUND(D15*10000/B15,0)</f>
        <v>#DIV/0!</v>
      </c>
      <c r="F15" s="2955" t="e">
        <f t="shared" ref="F15:F23" si="1">ROUND(D15*10000/C15,0)</f>
        <v>#DIV/0!</v>
      </c>
      <c r="G15" s="1740"/>
      <c r="H15" s="1740"/>
      <c r="I15" s="1739"/>
      <c r="J15" s="2950"/>
    </row>
    <row r="16" spans="1:10" ht="16.5">
      <c r="A16" s="2956" t="s">
        <v>1343</v>
      </c>
      <c r="B16" s="1739"/>
      <c r="C16" s="1739"/>
      <c r="D16" s="1739"/>
      <c r="E16" s="2955" t="e">
        <f t="shared" si="0"/>
        <v>#DIV/0!</v>
      </c>
      <c r="F16" s="2955" t="e">
        <f t="shared" si="1"/>
        <v>#DIV/0!</v>
      </c>
      <c r="G16" s="1740"/>
      <c r="H16" s="1740"/>
      <c r="I16" s="1739"/>
    </row>
    <row r="17" spans="1:9" ht="16.5">
      <c r="A17" s="2956" t="s">
        <v>1342</v>
      </c>
      <c r="B17" s="1739"/>
      <c r="C17" s="1739"/>
      <c r="D17" s="1739"/>
      <c r="E17" s="2955" t="e">
        <f t="shared" si="0"/>
        <v>#DIV/0!</v>
      </c>
      <c r="F17" s="2955" t="e">
        <f t="shared" si="1"/>
        <v>#DIV/0!</v>
      </c>
      <c r="G17" s="1740"/>
      <c r="H17" s="1740"/>
      <c r="I17" s="1739"/>
    </row>
    <row r="18" spans="1:9" ht="16.5">
      <c r="A18" s="2956" t="s">
        <v>1341</v>
      </c>
      <c r="B18" s="1739"/>
      <c r="C18" s="1739"/>
      <c r="D18" s="1739"/>
      <c r="E18" s="2955" t="e">
        <f t="shared" si="0"/>
        <v>#DIV/0!</v>
      </c>
      <c r="F18" s="2955" t="e">
        <f t="shared" si="1"/>
        <v>#DIV/0!</v>
      </c>
      <c r="G18" s="1739"/>
      <c r="H18" s="1739"/>
      <c r="I18" s="1739"/>
    </row>
    <row r="19" spans="1:9" ht="16.5">
      <c r="A19" s="2956" t="s">
        <v>1340</v>
      </c>
      <c r="B19" s="1739"/>
      <c r="C19" s="1739"/>
      <c r="D19" s="1739"/>
      <c r="E19" s="2955" t="e">
        <f t="shared" si="0"/>
        <v>#DIV/0!</v>
      </c>
      <c r="F19" s="2955" t="e">
        <f t="shared" si="1"/>
        <v>#DIV/0!</v>
      </c>
      <c r="G19" s="1739"/>
      <c r="H19" s="1739"/>
      <c r="I19" s="1739"/>
    </row>
    <row r="20" spans="1:9" ht="16.5">
      <c r="A20" s="2956" t="s">
        <v>1339</v>
      </c>
      <c r="B20" s="1739"/>
      <c r="C20" s="1739"/>
      <c r="D20" s="1739"/>
      <c r="E20" s="2955" t="e">
        <f t="shared" si="0"/>
        <v>#DIV/0!</v>
      </c>
      <c r="F20" s="2955" t="e">
        <f t="shared" si="1"/>
        <v>#DIV/0!</v>
      </c>
      <c r="G20" s="1739"/>
      <c r="H20" s="1739"/>
      <c r="I20" s="1739"/>
    </row>
    <row r="21" spans="1:9" ht="16.5">
      <c r="A21" s="2956" t="s">
        <v>1338</v>
      </c>
      <c r="B21" s="1739"/>
      <c r="C21" s="1739"/>
      <c r="D21" s="1739"/>
      <c r="E21" s="2955" t="e">
        <f t="shared" si="0"/>
        <v>#DIV/0!</v>
      </c>
      <c r="F21" s="2955" t="e">
        <f t="shared" si="1"/>
        <v>#DIV/0!</v>
      </c>
      <c r="G21" s="1739"/>
      <c r="H21" s="1739"/>
      <c r="I21" s="1739"/>
    </row>
    <row r="22" spans="1:9" ht="16.5">
      <c r="A22" s="2956" t="s">
        <v>1337</v>
      </c>
      <c r="B22" s="1739"/>
      <c r="C22" s="1739"/>
      <c r="D22" s="1739"/>
      <c r="E22" s="2955" t="e">
        <f t="shared" si="0"/>
        <v>#DIV/0!</v>
      </c>
      <c r="F22" s="2955" t="e">
        <f t="shared" si="1"/>
        <v>#DIV/0!</v>
      </c>
      <c r="G22" s="1739"/>
      <c r="H22" s="1739"/>
      <c r="I22" s="1739"/>
    </row>
    <row r="23" spans="1:9" ht="16.5">
      <c r="A23" s="2956"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4" sqref="C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8" t="s">
        <v>1372</v>
      </c>
      <c r="C1" s="242"/>
      <c r="D1" s="242"/>
      <c r="E1" s="242"/>
      <c r="F1" s="242"/>
      <c r="G1" s="1379">
        <f>MATCH(B1,'数据-取费表'!A6:A16,0)+5</f>
        <v>6</v>
      </c>
    </row>
    <row r="2" spans="1:9" s="244" customFormat="1" ht="18" customHeight="1">
      <c r="A2" s="245" t="s">
        <v>2327</v>
      </c>
      <c r="B2" s="246">
        <f ca="1">IF(D2="——",C52,C52-E2)</f>
        <v>32830</v>
      </c>
      <c r="C2" s="243" t="s">
        <v>2328</v>
      </c>
      <c r="D2" s="2540" t="s">
        <v>70</v>
      </c>
      <c r="E2" s="1440"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44365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22345</v>
      </c>
      <c r="D5" s="255" t="s">
        <v>2334</v>
      </c>
      <c r="E5" s="256" t="s">
        <v>2335</v>
      </c>
      <c r="F5" s="256" t="s">
        <v>2336</v>
      </c>
      <c r="G5" s="257"/>
    </row>
    <row r="6" spans="1:9" s="258" customFormat="1" ht="13.5" customHeight="1">
      <c r="A6" s="949" t="s">
        <v>2337</v>
      </c>
      <c r="B6" s="259" t="s">
        <v>2338</v>
      </c>
      <c r="C6" s="260">
        <f ca="1">'基准地价（汇总）'!B2</f>
        <v>21569</v>
      </c>
      <c r="D6" s="261"/>
      <c r="E6" s="262"/>
      <c r="F6" s="262"/>
      <c r="G6" s="263"/>
    </row>
    <row r="7" spans="1:9" s="258" customFormat="1" ht="13.5" customHeight="1">
      <c r="A7" s="949" t="s">
        <v>2339</v>
      </c>
      <c r="B7" s="259" t="s">
        <v>2340</v>
      </c>
      <c r="C7" s="264">
        <f ca="1">ROUND(C6*F7,0)</f>
        <v>658</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118</v>
      </c>
      <c r="D8" s="266"/>
      <c r="E8" s="264"/>
      <c r="F8" s="265"/>
      <c r="G8" s="2543" t="s">
        <v>3094</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200</v>
      </c>
      <c r="F9" s="265"/>
      <c r="G9" s="2544" t="s">
        <v>3097</v>
      </c>
      <c r="H9" s="1390"/>
      <c r="I9" s="2545" t="s">
        <v>2344</v>
      </c>
    </row>
    <row r="10" spans="1:9" s="258" customFormat="1" ht="13.5" customHeight="1">
      <c r="A10" s="950" t="s">
        <v>801</v>
      </c>
      <c r="B10" s="268" t="s">
        <v>2345</v>
      </c>
      <c r="C10" s="269">
        <f ca="1">ROUND(D10*E10/10000,0)</f>
        <v>118</v>
      </c>
      <c r="D10" s="1032">
        <f ca="1">IF(B1="",'数据-汇总表'!E6,IF(INDIRECT("'数据-取费表'!c"&amp;$G$1)="住宅",INDIRECT("'数据-取费表'!s"&amp;$G$1),INDIRECT("'数据-取费表'!k"&amp;$G$1)+INDIRECT("'数据-取费表'!s"&amp;$G$1)))</f>
        <v>7400</v>
      </c>
      <c r="E10" s="269">
        <f>'数据-取费表'!B28</f>
        <v>160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7400</v>
      </c>
      <c r="E19" s="255">
        <f>'数据-取费表'!B31</f>
        <v>200</v>
      </c>
      <c r="F19" s="275"/>
      <c r="G19" s="2543" t="s">
        <v>3093</v>
      </c>
    </row>
    <row r="20" spans="1:7" s="258" customFormat="1" ht="13.5" customHeight="1">
      <c r="A20" s="299" t="s">
        <v>2358</v>
      </c>
      <c r="B20" s="254" t="s">
        <v>2359</v>
      </c>
      <c r="C20" s="276">
        <f ca="1">ROUND((C5+C19)*F20,0)</f>
        <v>447</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982</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1" t="s">
        <v>2367</v>
      </c>
      <c r="B23" s="259" t="s">
        <v>2368</v>
      </c>
      <c r="C23" s="1355">
        <f ca="1">ROUND(IF('数据-取费表'!B22&lt;=1,C5*F22*'数据-取费表'!B23,C5*(POWER((1+F22),'数据-取费表'!B23)-1)),0)</f>
        <v>972</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10</v>
      </c>
      <c r="D25" s="282"/>
      <c r="E25" s="285"/>
      <c r="F25" s="283"/>
      <c r="G25" s="286" t="s">
        <v>2375</v>
      </c>
    </row>
    <row r="26" spans="1:7" s="258" customFormat="1">
      <c r="A26" s="951"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4558</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4558</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30719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2082</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1850</v>
      </c>
      <c r="D34" s="261"/>
      <c r="E34" s="264"/>
      <c r="F34" s="301">
        <f ca="1">IF('数据-取费表'!B24=0,1,IF(B1="",'数据-取费表'!N16,INDIRECT("'数据-取费表'!n"&amp;$G$1)))</f>
        <v>1</v>
      </c>
      <c r="G34" s="263" t="s">
        <v>2391</v>
      </c>
    </row>
    <row r="35" spans="1:7" ht="13.5" customHeight="1">
      <c r="A35" s="951" t="s">
        <v>796</v>
      </c>
      <c r="B35" s="259" t="s">
        <v>2392</v>
      </c>
      <c r="C35" s="264">
        <f ca="1">ROUND(C34*F35,0)</f>
        <v>56</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148</v>
      </c>
      <c r="D37" s="261">
        <f ca="1">D19</f>
        <v>7400</v>
      </c>
      <c r="E37" s="293">
        <f>'数据-取费表'!B35</f>
        <v>200</v>
      </c>
      <c r="F37" s="303"/>
      <c r="G37" s="305" t="s">
        <v>2397</v>
      </c>
    </row>
    <row r="38" spans="1:7" ht="13.5" customHeight="1">
      <c r="A38" s="951" t="s">
        <v>799</v>
      </c>
      <c r="B38" s="259" t="s">
        <v>2398</v>
      </c>
      <c r="C38" s="264">
        <f ca="1">ROUND(C34*F38,0)</f>
        <v>28</v>
      </c>
      <c r="D38" s="264"/>
      <c r="E38" s="264"/>
      <c r="F38" s="303">
        <f>'数据-取费表'!B36</f>
        <v>1.4999999999999999E-2</v>
      </c>
      <c r="G38" s="263" t="s">
        <v>2393</v>
      </c>
    </row>
    <row r="39" spans="1:7" s="258" customFormat="1" ht="13.5" customHeight="1">
      <c r="A39" s="299" t="s">
        <v>2399</v>
      </c>
      <c r="B39" s="254" t="s">
        <v>2400</v>
      </c>
      <c r="C39" s="276">
        <f ca="1">ROUND(C33*F20,0)</f>
        <v>42</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46</v>
      </c>
      <c r="D41" s="279">
        <f ca="1">C44</f>
        <v>4.0000000000000002E-4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ROUND(IF('数据-取费表'!B22&lt;=1,C33*F22*'数据-取费表'!B21/2,C33*(POWER((1+F22),'数据-取费表'!B21/2)-1)),0)</f>
        <v>45</v>
      </c>
      <c r="D42" s="282"/>
      <c r="E42" s="282"/>
      <c r="F42" s="283"/>
      <c r="G42" s="3069" t="s">
        <v>2409</v>
      </c>
    </row>
    <row r="43" spans="1:7" ht="13.5" customHeight="1">
      <c r="A43" s="951" t="s">
        <v>792</v>
      </c>
      <c r="B43" s="259" t="s">
        <v>2410</v>
      </c>
      <c r="C43" s="282">
        <f ca="1">ROUND(IF('数据-取费表'!B22&lt;=1,C39*F22*'数据-取费表'!B21/2,C39*(POWER((1+F22),'数据-取费表'!B21/2)-1)),0)</f>
        <v>1</v>
      </c>
      <c r="D43" s="282"/>
      <c r="E43" s="282"/>
      <c r="F43" s="283"/>
      <c r="G43" s="3070"/>
    </row>
    <row r="44" spans="1:7" ht="13.5" customHeight="1">
      <c r="A44" s="951" t="s">
        <v>793</v>
      </c>
      <c r="B44" s="259" t="s">
        <v>2411</v>
      </c>
      <c r="C44" s="282">
        <f ca="1">ROUND(IF('数据-取费表'!B22&lt;=1,C40*F22*'数据-取费表'!B21/2,C40*(POWER((1+F22),'数据-取费表'!B21/2)-1)),4)</f>
        <v>4.0000000000000002E-4</v>
      </c>
      <c r="D44" s="282"/>
      <c r="E44" s="282"/>
      <c r="F44" s="283"/>
      <c r="G44" s="3071"/>
    </row>
    <row r="45" spans="1:7" s="258" customFormat="1" ht="13.5" customHeight="1">
      <c r="A45" s="299" t="s">
        <v>2412</v>
      </c>
      <c r="B45" s="288" t="s">
        <v>2378</v>
      </c>
      <c r="C45" s="289">
        <f ca="1">C46</f>
        <v>425</v>
      </c>
      <c r="D45" s="279">
        <f ca="1">C47</f>
        <v>4.0000000000000001E-3</v>
      </c>
      <c r="E45" s="280" t="s">
        <v>2404</v>
      </c>
      <c r="F45" s="290"/>
      <c r="G45" s="291" t="s">
        <v>2413</v>
      </c>
    </row>
    <row r="46" spans="1:7" s="258" customFormat="1" ht="13.5" customHeight="1">
      <c r="A46" s="951" t="s">
        <v>791</v>
      </c>
      <c r="B46" s="292" t="s">
        <v>2414</v>
      </c>
      <c r="C46" s="293">
        <f ca="1">ROUND((C33+C39)*F27,0)</f>
        <v>425</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2814</v>
      </c>
      <c r="D49" s="276"/>
      <c r="E49" s="276"/>
      <c r="F49" s="308"/>
      <c r="G49" s="278" t="s">
        <v>2419</v>
      </c>
    </row>
    <row r="50" spans="1:7" s="302" customFormat="1" ht="24">
      <c r="A50" s="299" t="s">
        <v>2420</v>
      </c>
      <c r="B50" s="254" t="s">
        <v>2421</v>
      </c>
      <c r="C50" s="276"/>
      <c r="D50" s="276"/>
      <c r="E50" s="276"/>
      <c r="F50" s="308">
        <f>IF('数据-取费表'!B24=0,'数据-取费表'!N16,1)</f>
        <v>0.75</v>
      </c>
      <c r="G50" s="291" t="s">
        <v>2422</v>
      </c>
    </row>
    <row r="51" spans="1:7" ht="16.5" customHeight="1">
      <c r="A51" s="299" t="s">
        <v>2423</v>
      </c>
      <c r="B51" s="254" t="s">
        <v>2424</v>
      </c>
      <c r="C51" s="276">
        <f ca="1">ROUND(C49*F50,0)</f>
        <v>2111</v>
      </c>
      <c r="D51" s="276"/>
      <c r="E51" s="276"/>
      <c r="F51" s="308"/>
      <c r="G51" s="278" t="s">
        <v>2425</v>
      </c>
    </row>
    <row r="52" spans="1:7" s="252" customFormat="1" ht="16.5" thickBot="1">
      <c r="A52" s="309" t="s">
        <v>2426</v>
      </c>
      <c r="B52" s="310"/>
      <c r="C52" s="311">
        <f ca="1">C31+C51</f>
        <v>32830</v>
      </c>
      <c r="D52" s="310"/>
      <c r="E52" s="310"/>
      <c r="F52" s="310"/>
      <c r="G52" s="312"/>
    </row>
    <row r="55" spans="1:7" ht="15">
      <c r="B55" s="314" t="s">
        <v>2427</v>
      </c>
      <c r="C55" s="315"/>
    </row>
    <row r="56" spans="1:7">
      <c r="B56" s="317" t="s">
        <v>1507</v>
      </c>
      <c r="C56" s="319">
        <f ca="1">1-C57</f>
        <v>0.93599999999999994</v>
      </c>
    </row>
    <row r="57" spans="1:7">
      <c r="B57" s="317" t="s">
        <v>1508</v>
      </c>
      <c r="C57" s="318">
        <f ca="1">ROUND(C51/C52,3)</f>
        <v>6.4000000000000001E-2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D19" sqref="D19"/>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t="s">
        <v>1372</v>
      </c>
      <c r="D1" s="2409"/>
      <c r="E1" s="2409"/>
      <c r="F1" s="2411" t="s">
        <v>2117</v>
      </c>
      <c r="G1" s="2061" t="s">
        <v>2118</v>
      </c>
      <c r="H1" s="2412" t="str">
        <f>IF(G1="现房","——","估价对象范围")</f>
        <v>估价对象范围</v>
      </c>
      <c r="I1" s="2413"/>
    </row>
    <row r="2" spans="1:12" ht="21.75" customHeight="1" thickBot="1">
      <c r="A2" s="3105" t="str">
        <f>项目基本情况!S2</f>
        <v>北京市出让国有建设用地使用权及在建建筑物房地产</v>
      </c>
      <c r="B2" s="3106"/>
      <c r="C2" s="3106"/>
      <c r="D2" s="3106"/>
      <c r="E2" s="3106"/>
      <c r="F2" s="3106"/>
      <c r="G2" s="3106"/>
      <c r="H2" s="3106"/>
      <c r="I2" s="3107"/>
    </row>
    <row r="3" spans="1:12" ht="12.75">
      <c r="A3" s="3109" t="s">
        <v>2119</v>
      </c>
      <c r="B3" s="3110"/>
      <c r="C3" s="3110"/>
      <c r="D3" s="3110"/>
      <c r="E3" s="3110"/>
      <c r="F3" s="3110"/>
      <c r="G3" s="3110"/>
      <c r="H3" s="3110"/>
      <c r="I3" s="3110"/>
    </row>
    <row r="4" spans="1:12" ht="14.25">
      <c r="A4" s="2416" t="s">
        <v>2120</v>
      </c>
      <c r="B4" s="2417" t="s">
        <v>2121</v>
      </c>
      <c r="C4" s="2418" t="s">
        <v>3086</v>
      </c>
      <c r="D4" s="2418" t="s">
        <v>3096</v>
      </c>
      <c r="E4" s="3102" t="s">
        <v>2122</v>
      </c>
      <c r="F4" s="3103"/>
      <c r="G4" s="3103"/>
      <c r="H4" s="3103"/>
      <c r="I4" s="311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85" t="s">
        <v>2123</v>
      </c>
      <c r="B5" s="3020">
        <v>25</v>
      </c>
      <c r="C5" s="3088">
        <v>5</v>
      </c>
      <c r="D5" s="3108">
        <v>5</v>
      </c>
      <c r="E5" s="140" t="s">
        <v>2124</v>
      </c>
      <c r="F5" s="2420"/>
      <c r="G5" s="2420"/>
      <c r="H5" s="2420"/>
      <c r="I5" s="1823"/>
    </row>
    <row r="6" spans="1:12" ht="12.75">
      <c r="A6" s="3085"/>
      <c r="B6" s="3020"/>
      <c r="C6" s="3089"/>
      <c r="D6" s="3108"/>
      <c r="E6" s="140" t="s">
        <v>2125</v>
      </c>
      <c r="F6" s="2420"/>
      <c r="G6" s="2420"/>
      <c r="H6" s="2420"/>
      <c r="I6" s="1823"/>
    </row>
    <row r="7" spans="1:12" ht="12.75">
      <c r="A7" s="3085"/>
      <c r="B7" s="3020"/>
      <c r="C7" s="3090"/>
      <c r="D7" s="3108"/>
      <c r="E7" s="140" t="s">
        <v>2126</v>
      </c>
      <c r="F7" s="2420"/>
      <c r="G7" s="2420"/>
      <c r="H7" s="2420"/>
      <c r="I7" s="1823"/>
    </row>
    <row r="8" spans="1:12" ht="12.75">
      <c r="A8" s="3085" t="s">
        <v>2127</v>
      </c>
      <c r="B8" s="3020">
        <v>15</v>
      </c>
      <c r="C8" s="3088"/>
      <c r="D8" s="3108"/>
      <c r="E8" s="140" t="s">
        <v>2128</v>
      </c>
      <c r="F8" s="2420"/>
      <c r="G8" s="2420"/>
      <c r="H8" s="2420"/>
      <c r="I8" s="1823"/>
    </row>
    <row r="9" spans="1:12" ht="12.75">
      <c r="A9" s="3085"/>
      <c r="B9" s="3020"/>
      <c r="C9" s="3090"/>
      <c r="D9" s="3108"/>
      <c r="E9" s="140" t="s">
        <v>2129</v>
      </c>
      <c r="F9" s="2420"/>
      <c r="G9" s="2420"/>
      <c r="H9" s="2420"/>
      <c r="I9" s="1823"/>
    </row>
    <row r="10" spans="1:12" ht="12.75">
      <c r="A10" s="3085" t="s">
        <v>2130</v>
      </c>
      <c r="B10" s="3020">
        <v>15</v>
      </c>
      <c r="C10" s="3088"/>
      <c r="D10" s="3108"/>
      <c r="E10" s="140" t="s">
        <v>2131</v>
      </c>
      <c r="F10" s="2420"/>
      <c r="G10" s="2420"/>
      <c r="H10" s="2420"/>
      <c r="I10" s="1823"/>
    </row>
    <row r="11" spans="1:12" ht="12.75">
      <c r="A11" s="3085"/>
      <c r="B11" s="3020"/>
      <c r="C11" s="3090"/>
      <c r="D11" s="3108"/>
      <c r="E11" s="140" t="s">
        <v>2132</v>
      </c>
      <c r="F11" s="2420"/>
      <c r="G11" s="2420"/>
      <c r="H11" s="2420"/>
      <c r="I11" s="1823"/>
    </row>
    <row r="12" spans="1:12" ht="12.75">
      <c r="A12" s="3085" t="s">
        <v>2133</v>
      </c>
      <c r="B12" s="3020">
        <v>15</v>
      </c>
      <c r="C12" s="3088"/>
      <c r="D12" s="3108"/>
      <c r="E12" s="140" t="s">
        <v>2134</v>
      </c>
      <c r="F12" s="2420"/>
      <c r="G12" s="2420"/>
      <c r="H12" s="2420"/>
      <c r="I12" s="1823"/>
    </row>
    <row r="13" spans="1:12" ht="12.75">
      <c r="A13" s="3085"/>
      <c r="B13" s="3020"/>
      <c r="C13" s="3090"/>
      <c r="D13" s="3108"/>
      <c r="E13" s="140" t="s">
        <v>2135</v>
      </c>
      <c r="F13" s="2420"/>
      <c r="G13" s="2420"/>
      <c r="H13" s="2420"/>
      <c r="I13" s="1823"/>
    </row>
    <row r="14" spans="1:12" ht="12.75">
      <c r="A14" s="3085" t="s">
        <v>2136</v>
      </c>
      <c r="B14" s="3020">
        <v>30</v>
      </c>
      <c r="C14" s="3088"/>
      <c r="D14" s="3108"/>
      <c r="E14" s="140" t="s">
        <v>2137</v>
      </c>
      <c r="F14" s="2420"/>
      <c r="G14" s="2420"/>
      <c r="H14" s="2420"/>
      <c r="I14" s="1823"/>
    </row>
    <row r="15" spans="1:12" ht="12.75">
      <c r="A15" s="3085"/>
      <c r="B15" s="3020"/>
      <c r="C15" s="3089"/>
      <c r="D15" s="3108"/>
      <c r="E15" s="140" t="s">
        <v>2138</v>
      </c>
      <c r="F15" s="2420"/>
      <c r="G15" s="2420"/>
      <c r="H15" s="2420"/>
      <c r="I15" s="1823"/>
    </row>
    <row r="16" spans="1:12" ht="12.75">
      <c r="A16" s="3085"/>
      <c r="B16" s="3020"/>
      <c r="C16" s="3090"/>
      <c r="D16" s="3108"/>
      <c r="E16" s="140" t="s">
        <v>2139</v>
      </c>
      <c r="F16" s="2420"/>
      <c r="G16" s="2420"/>
      <c r="H16" s="2420"/>
      <c r="I16" s="1823"/>
    </row>
    <row r="17" spans="1:35" ht="15">
      <c r="A17" s="2421" t="s">
        <v>2140</v>
      </c>
      <c r="B17" s="64"/>
      <c r="C17" s="141">
        <f>SUM(C5:C16)</f>
        <v>5</v>
      </c>
      <c r="D17" s="141">
        <f>SUM(D5:D16)</f>
        <v>5</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7400</v>
      </c>
      <c r="M18" s="2419">
        <f>IF(C1="",'数据-汇总表'!E3,SUMIF(项目类型,C1,'数据-汇总表'!E17:E26))</f>
        <v>7400</v>
      </c>
    </row>
    <row r="19" spans="1:35" ht="15">
      <c r="A19" s="2425" t="s">
        <v>2145</v>
      </c>
      <c r="B19" s="2426" t="s">
        <v>2146</v>
      </c>
      <c r="C19" s="143">
        <f ca="1">SUMIF(INDIRECT("'"&amp;C4&amp;"'"&amp;"!A:A"),结果表!B19,INDIRECT("'"&amp;C4&amp;"'"&amp;"!B:B"))</f>
        <v>32828</v>
      </c>
      <c r="D19" s="144">
        <f ca="1">'收益法 (元)'!F83</f>
        <v>30171</v>
      </c>
      <c r="E19" s="2425" t="s">
        <v>2147</v>
      </c>
      <c r="F19" s="2426" t="s">
        <v>2146</v>
      </c>
      <c r="G19" s="145">
        <f ca="1">ROUND(C19*$C$18+D19*$D$18,0)</f>
        <v>31500</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5">
      <c r="A20" s="2428"/>
      <c r="B20" s="1247" t="s">
        <v>2150</v>
      </c>
      <c r="C20" s="146">
        <f ca="1">SUMIF(INDIRECT("'"&amp;C4&amp;"'"&amp;"!A:A"),结果表!B20,INDIRECT("'"&amp;C4&amp;"'"&amp;"!B:B"))</f>
        <v>44362</v>
      </c>
      <c r="D20" s="147">
        <f ca="1">'收益法 (元)'!F82</f>
        <v>40771</v>
      </c>
      <c r="E20" s="2428"/>
      <c r="F20" s="1247" t="s">
        <v>2150</v>
      </c>
      <c r="G20" s="148">
        <f ca="1">ROUND(C20*$C$18+D20*$D$18,0)</f>
        <v>42567</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8.8064697888700971E-2</v>
      </c>
      <c r="E22" s="138"/>
      <c r="F22" s="138"/>
      <c r="G22" s="138"/>
      <c r="H22" s="138"/>
      <c r="I22" s="138"/>
    </row>
    <row r="23" spans="1:35" ht="13.5" thickBot="1">
      <c r="A23" s="2409"/>
      <c r="B23" s="2409"/>
      <c r="C23" s="2409"/>
      <c r="D23" s="2409"/>
      <c r="E23" s="138"/>
      <c r="F23" s="138"/>
      <c r="G23" s="138"/>
      <c r="H23" s="138"/>
      <c r="I23" s="138"/>
    </row>
    <row r="24" spans="1:35" ht="14.25">
      <c r="A24" s="3079" t="s">
        <v>2154</v>
      </c>
      <c r="B24" s="2426" t="s">
        <v>2146</v>
      </c>
      <c r="C24" s="145">
        <f>IF(B30=0,0,D30)</f>
        <v>0</v>
      </c>
      <c r="D24" s="2433"/>
      <c r="E24" s="138"/>
      <c r="F24" s="138"/>
      <c r="G24" s="138"/>
      <c r="H24" s="138"/>
      <c r="I24" s="138"/>
    </row>
    <row r="25" spans="1:35" ht="14.25">
      <c r="A25" s="3080"/>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31500</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6"/>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097" t="s">
        <v>2168</v>
      </c>
      <c r="B36" s="2452" t="s">
        <v>2169</v>
      </c>
      <c r="C36" s="154"/>
      <c r="D36" s="2453"/>
      <c r="E36" s="2454"/>
      <c r="F36" s="2455"/>
      <c r="G36" s="138"/>
      <c r="H36" s="138"/>
      <c r="I36" s="138"/>
    </row>
    <row r="37" spans="1:15" ht="15.75" thickBot="1">
      <c r="A37" s="3098"/>
      <c r="B37" s="2258" t="s">
        <v>2170</v>
      </c>
      <c r="C37" s="156"/>
      <c r="D37" s="1392"/>
      <c r="E37" s="1392"/>
      <c r="F37" s="2455"/>
      <c r="G37" s="138"/>
      <c r="H37" s="138"/>
      <c r="I37" s="138"/>
    </row>
    <row r="38" spans="1:15" ht="15.75" thickBot="1">
      <c r="A38" s="3099"/>
      <c r="B38" s="2456" t="s">
        <v>2171</v>
      </c>
      <c r="C38" s="727"/>
      <c r="D38" s="2457" t="s">
        <v>2172</v>
      </c>
      <c r="E38" s="1392"/>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76" t="s">
        <v>2182</v>
      </c>
      <c r="B45" s="3077"/>
      <c r="C45" s="3078"/>
      <c r="D45" s="164">
        <f ca="1">ROUND(H101*F45,0)</f>
        <v>31500</v>
      </c>
      <c r="E45" s="165" t="s">
        <v>2183</v>
      </c>
      <c r="F45" s="166">
        <v>1</v>
      </c>
      <c r="G45" s="167" t="s">
        <v>2184</v>
      </c>
      <c r="H45" s="138"/>
      <c r="I45" s="138"/>
      <c r="J45" s="3136" t="s">
        <v>2185</v>
      </c>
      <c r="K45" s="3136"/>
      <c r="L45" s="3136"/>
      <c r="M45" s="3136"/>
      <c r="N45" s="3136"/>
      <c r="O45" s="3136"/>
    </row>
    <row r="46" spans="1:15" ht="14.25" customHeight="1">
      <c r="A46" s="3073" t="s">
        <v>2186</v>
      </c>
      <c r="B46" s="3074"/>
      <c r="C46" s="3074"/>
      <c r="D46" s="3074"/>
      <c r="E46" s="3074"/>
      <c r="F46" s="3074"/>
      <c r="G46" s="3075"/>
      <c r="H46" s="2471"/>
      <c r="I46" s="168"/>
      <c r="J46" s="1801">
        <v>1</v>
      </c>
      <c r="K46" s="3136" t="s">
        <v>2187</v>
      </c>
      <c r="L46" s="3136"/>
      <c r="M46" s="3156"/>
      <c r="N46" s="3156"/>
      <c r="O46" s="3156"/>
    </row>
    <row r="47" spans="1:15" ht="12" customHeight="1">
      <c r="A47" s="169" t="s">
        <v>2188</v>
      </c>
      <c r="B47" s="170"/>
      <c r="C47" s="171"/>
      <c r="D47" s="172" t="s">
        <v>2189</v>
      </c>
      <c r="E47" s="24" t="s">
        <v>2190</v>
      </c>
      <c r="F47" s="173" t="s">
        <v>2191</v>
      </c>
      <c r="G47" s="174" t="s">
        <v>2192</v>
      </c>
      <c r="H47" s="2471"/>
      <c r="I47" s="168"/>
      <c r="J47" s="1801">
        <v>2</v>
      </c>
      <c r="K47" s="3136" t="s">
        <v>2193</v>
      </c>
      <c r="L47" s="3136"/>
      <c r="M47" s="3157">
        <f>'数据-取费表'!B2</f>
        <v>44019</v>
      </c>
      <c r="N47" s="3157"/>
      <c r="O47" s="3157"/>
    </row>
    <row r="48" spans="1:15" ht="25.5">
      <c r="A48" s="3104" t="s">
        <v>2194</v>
      </c>
      <c r="B48" s="3087"/>
      <c r="C48" s="3087"/>
      <c r="D48" s="140">
        <f>IF(H48="情况1",0,IF(H48="情况2",D52,IF(H48="情况3",D53,IF(H48="情况4",D54))))</f>
        <v>0</v>
      </c>
      <c r="E48" s="1790" t="str">
        <f>IF(H48="情况4","(销售额-原购置价)×税（费）率","销售额×税（费）率")</f>
        <v>销售额×税（费）率</v>
      </c>
      <c r="F48" s="175" t="str">
        <f>IF(H48="情况1","免征",'数据-取费表'!B41)</f>
        <v>免征</v>
      </c>
      <c r="G48" s="2472" t="s">
        <v>2195</v>
      </c>
      <c r="H48" s="2473" t="s">
        <v>2196</v>
      </c>
      <c r="I48" s="2471"/>
      <c r="J48" s="1801">
        <v>3</v>
      </c>
      <c r="K48" s="3136" t="s">
        <v>2197</v>
      </c>
      <c r="L48" s="3136"/>
      <c r="M48" s="3158">
        <f ca="1">H101</f>
        <v>31500</v>
      </c>
      <c r="N48" s="3158"/>
      <c r="O48" s="3158"/>
    </row>
    <row r="49" spans="1:35" ht="25.5" customHeight="1">
      <c r="A49" s="176" t="s">
        <v>2198</v>
      </c>
      <c r="B49" s="3072" t="s">
        <v>2199</v>
      </c>
      <c r="C49" s="3072"/>
      <c r="D49" s="177">
        <v>0</v>
      </c>
      <c r="E49" s="23" t="s">
        <v>2200</v>
      </c>
      <c r="F49" s="28" t="s">
        <v>34</v>
      </c>
      <c r="G49" s="3142"/>
      <c r="H49" s="138"/>
      <c r="I49" s="2474"/>
      <c r="J49" s="1801">
        <v>4</v>
      </c>
      <c r="K49" s="3136" t="str">
        <f>IF(项目基本情况!E8="房地产抵押价值","房地产抵押价值","抵押担保权已注销时的房地产抵押价值")</f>
        <v>抵押担保权已注销时的房地产抵押价值</v>
      </c>
      <c r="L49" s="3136"/>
      <c r="M49" s="3158" t="str">
        <f>IF(项目基本情况!E8="房地产抵押价值",H107,H109)</f>
        <v>——</v>
      </c>
      <c r="N49" s="3158"/>
      <c r="O49" s="3158"/>
    </row>
    <row r="50" spans="1:35" ht="25.5" customHeight="1">
      <c r="A50" s="178"/>
      <c r="B50" s="3072" t="s">
        <v>2201</v>
      </c>
      <c r="C50" s="3072"/>
      <c r="D50" s="179"/>
      <c r="E50" s="31"/>
      <c r="F50" s="180"/>
      <c r="G50" s="3143"/>
      <c r="H50" s="138"/>
      <c r="I50" s="2474"/>
      <c r="J50" s="3136" t="s">
        <v>2202</v>
      </c>
      <c r="K50" s="3136"/>
      <c r="L50" s="3136"/>
      <c r="M50" s="3136"/>
      <c r="N50" s="3136"/>
      <c r="O50" s="3136"/>
    </row>
    <row r="51" spans="1:35" ht="12" customHeight="1">
      <c r="A51" s="181"/>
      <c r="B51" s="3072" t="s">
        <v>2203</v>
      </c>
      <c r="C51" s="3072"/>
      <c r="D51" s="182"/>
      <c r="E51" s="30"/>
      <c r="F51" s="180"/>
      <c r="G51" s="3144"/>
      <c r="H51" s="138"/>
      <c r="I51" s="2474"/>
      <c r="J51" s="2475" t="s">
        <v>2204</v>
      </c>
      <c r="K51" s="3136" t="s">
        <v>2205</v>
      </c>
      <c r="L51" s="3136"/>
      <c r="M51" s="2475" t="s">
        <v>2206</v>
      </c>
      <c r="N51" s="2475" t="s">
        <v>2207</v>
      </c>
      <c r="O51" s="2475" t="s">
        <v>2208</v>
      </c>
    </row>
    <row r="52" spans="1:35" ht="24" customHeight="1">
      <c r="A52" s="183" t="s">
        <v>2209</v>
      </c>
      <c r="B52" s="3072" t="s">
        <v>2210</v>
      </c>
      <c r="C52" s="3072"/>
      <c r="D52" s="182">
        <f ca="1">ROUND(D45*'数据-取费表'!B41/(1+'数据-取费表'!C42),0)</f>
        <v>1680</v>
      </c>
      <c r="E52" s="11" t="s">
        <v>2211</v>
      </c>
      <c r="F52" s="184">
        <f>'数据-取费表'!B41</f>
        <v>5.6000000000000001E-2</v>
      </c>
      <c r="G52" s="2476"/>
      <c r="H52" s="138"/>
      <c r="I52" s="2474"/>
      <c r="J52" s="1801">
        <v>1</v>
      </c>
      <c r="K52" s="3137" t="s">
        <v>2212</v>
      </c>
      <c r="L52" s="3137"/>
      <c r="M52" s="1743">
        <f>D48</f>
        <v>0</v>
      </c>
      <c r="N52" s="1801" t="str">
        <f>E48</f>
        <v>销售额×税（费）率</v>
      </c>
      <c r="O52" s="1744" t="str">
        <f>F48</f>
        <v>免征</v>
      </c>
    </row>
    <row r="53" spans="1:35" ht="12" customHeight="1">
      <c r="A53" s="183" t="s">
        <v>2213</v>
      </c>
      <c r="B53" s="3095" t="s">
        <v>2214</v>
      </c>
      <c r="C53" s="3096"/>
      <c r="D53" s="182">
        <f ca="1">ROUND(D45*'数据-取费表'!B41/(1+'数据-取费表'!C42),0)</f>
        <v>1680</v>
      </c>
      <c r="E53" s="11" t="s">
        <v>2211</v>
      </c>
      <c r="F53" s="184">
        <f>'数据-取费表'!B41</f>
        <v>5.6000000000000001E-2</v>
      </c>
      <c r="G53" s="2476"/>
      <c r="H53" s="138"/>
      <c r="I53" s="2474"/>
      <c r="J53" s="1801">
        <v>2</v>
      </c>
      <c r="K53" s="3137" t="s">
        <v>2215</v>
      </c>
      <c r="L53" s="3137"/>
      <c r="M53" s="1743">
        <f t="shared" ref="M53:O54" ca="1" si="0">D55</f>
        <v>16</v>
      </c>
      <c r="N53" s="1801" t="str">
        <f t="shared" si="0"/>
        <v>销售额×税（费）率</v>
      </c>
      <c r="O53" s="1744">
        <f t="shared" si="0"/>
        <v>5.0000000000000001E-4</v>
      </c>
    </row>
    <row r="54" spans="1:35" ht="12" customHeight="1">
      <c r="A54" s="183" t="s">
        <v>2216</v>
      </c>
      <c r="B54" s="3095" t="s">
        <v>2217</v>
      </c>
      <c r="C54" s="3096"/>
      <c r="D54" s="182">
        <f ca="1">C68</f>
        <v>1680</v>
      </c>
      <c r="E54" s="30" t="s">
        <v>2218</v>
      </c>
      <c r="F54" s="184">
        <f>'数据-取费表'!B41</f>
        <v>5.6000000000000001E-2</v>
      </c>
      <c r="G54" s="2476"/>
      <c r="H54" s="2477"/>
      <c r="I54" s="2474"/>
      <c r="J54" s="1801">
        <v>3</v>
      </c>
      <c r="K54" s="3137" t="s">
        <v>2219</v>
      </c>
      <c r="L54" s="3137"/>
      <c r="M54" s="1743">
        <f t="shared" ca="1" si="0"/>
        <v>17829</v>
      </c>
      <c r="N54" s="1801" t="str">
        <f t="shared" si="0"/>
        <v>增值额×税（费）率</v>
      </c>
      <c r="O54" s="1745" t="str">
        <f t="shared" si="0"/>
        <v>——</v>
      </c>
    </row>
    <row r="55" spans="1:35" ht="24" customHeight="1">
      <c r="A55" s="3086" t="s">
        <v>2220</v>
      </c>
      <c r="B55" s="3087"/>
      <c r="C55" s="3087"/>
      <c r="D55" s="185">
        <f ca="1">IF(H55="个人住宅",0,ROUND(D45*I55,0))</f>
        <v>16</v>
      </c>
      <c r="E55" s="11" t="s">
        <v>2221</v>
      </c>
      <c r="F55" s="184">
        <f>IF(H55="正常",I55,"免征")</f>
        <v>5.0000000000000001E-4</v>
      </c>
      <c r="G55" s="2476"/>
      <c r="H55" s="2473" t="s">
        <v>2222</v>
      </c>
      <c r="I55" s="186">
        <f>'数据-取费表'!B49</f>
        <v>5.0000000000000001E-4</v>
      </c>
      <c r="J55" s="1801" t="str">
        <f>IF(H59="非个人房产","",4)</f>
        <v/>
      </c>
      <c r="K55" s="3137" t="str">
        <f>IF(H59="非个人房产","——","个人所得税")</f>
        <v>——</v>
      </c>
      <c r="L55" s="3137"/>
      <c r="M55" s="1746" t="str">
        <f>D59</f>
        <v>——</v>
      </c>
      <c r="N55" s="1799" t="str">
        <f>E59</f>
        <v>——</v>
      </c>
      <c r="O55" s="1747" t="str">
        <f>F59</f>
        <v>——</v>
      </c>
    </row>
    <row r="56" spans="1:35" ht="24.75">
      <c r="A56" s="3086" t="s">
        <v>2223</v>
      </c>
      <c r="B56" s="3087"/>
      <c r="C56" s="3087"/>
      <c r="D56" s="185">
        <f ca="1">IF(H56="个人住宅",D57,D58)</f>
        <v>17829</v>
      </c>
      <c r="E56" s="11" t="s">
        <v>2224</v>
      </c>
      <c r="F56" s="184" t="str">
        <f>IF(H56="正常",F58,"免征")</f>
        <v>——</v>
      </c>
      <c r="G56" s="2478" t="s">
        <v>2225</v>
      </c>
      <c r="H56" s="2479" t="s">
        <v>2222</v>
      </c>
      <c r="I56" s="2480"/>
      <c r="J56" s="1801" t="str">
        <f>IF(项目基本情况!K6="上海银行",IF(J55="",4,J55+1),"")</f>
        <v/>
      </c>
      <c r="K56" s="3160" t="str">
        <f>IF(项目基本情况!K6="上海银行","其他处置费用","")</f>
        <v/>
      </c>
      <c r="L56" s="3161"/>
      <c r="M56" s="1743" t="str">
        <f>IF(项目基本情况!K6="上海银行",M69,"")</f>
        <v/>
      </c>
      <c r="N56" s="3163" t="str">
        <f>IF(项目基本情况!K6="上海银行","包含处置中涉及的律师、诉讼、拍卖、评估等费用","")</f>
        <v/>
      </c>
      <c r="O56" s="3164"/>
    </row>
    <row r="57" spans="1:35" ht="12.75">
      <c r="A57" s="183" t="s">
        <v>2198</v>
      </c>
      <c r="B57" s="3102" t="s">
        <v>2226</v>
      </c>
      <c r="C57" s="3111"/>
      <c r="D57" s="187">
        <v>0</v>
      </c>
      <c r="E57" s="23" t="s">
        <v>2200</v>
      </c>
      <c r="F57" s="155"/>
      <c r="G57" s="2476"/>
      <c r="H57" s="2480"/>
      <c r="I57" s="2480"/>
      <c r="J57" s="3137">
        <f>IF(AND(J55="",J56=""),4,IF(项目基本情况!K6="上海银行",结果表!J56+1,结果表!J55+1))</f>
        <v>4</v>
      </c>
      <c r="K57" s="3137" t="s">
        <v>2227</v>
      </c>
      <c r="L57" s="2481" t="s">
        <v>2228</v>
      </c>
      <c r="M57" s="1748"/>
      <c r="N57" s="1749">
        <f ca="1">SUMIF(M52:M56,"&lt;9e307")</f>
        <v>17845</v>
      </c>
      <c r="O57" s="2482"/>
      <c r="P57" s="1742" t="e">
        <f ca="1">N57/M49</f>
        <v>#VALUE!</v>
      </c>
    </row>
    <row r="58" spans="1:35" ht="24.75">
      <c r="A58" s="183" t="s">
        <v>2209</v>
      </c>
      <c r="B58" s="3102" t="s">
        <v>2229</v>
      </c>
      <c r="C58" s="3103"/>
      <c r="D58" s="185">
        <f ca="1">IF(H58="转让取得",C81,C97)</f>
        <v>17829</v>
      </c>
      <c r="E58" s="11" t="s">
        <v>2224</v>
      </c>
      <c r="F58" s="24" t="s">
        <v>34</v>
      </c>
      <c r="G58" s="2476"/>
      <c r="H58" s="2479" t="s">
        <v>2230</v>
      </c>
      <c r="I58" s="2480"/>
      <c r="J58" s="3137"/>
      <c r="K58" s="3137"/>
      <c r="L58" s="2481" t="s">
        <v>2231</v>
      </c>
      <c r="M58" s="1750"/>
      <c r="N58" s="2483" t="str">
        <f ca="1">NUMBERSTRING(INT(N57*10000),2)&amp;"元整"</f>
        <v>壹亿柒仟捌佰肆拾伍万元整</v>
      </c>
      <c r="O58" s="2484"/>
    </row>
    <row r="59" spans="1:35" ht="24.75" thickBot="1">
      <c r="A59" s="3140" t="s">
        <v>2232</v>
      </c>
      <c r="B59" s="3141"/>
      <c r="C59" s="3141"/>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38">
        <f>J57+1</f>
        <v>5</v>
      </c>
      <c r="K59" s="3137" t="s">
        <v>2234</v>
      </c>
      <c r="L59" s="1801" t="s">
        <v>2228</v>
      </c>
      <c r="M59" s="1751"/>
      <c r="N59" s="1752" t="e">
        <f ca="1">M49-N57</f>
        <v>#VALUE!</v>
      </c>
      <c r="O59" s="2486"/>
    </row>
    <row r="60" spans="1:35" ht="12" customHeight="1">
      <c r="A60" s="2487"/>
      <c r="B60" s="2409"/>
      <c r="C60" s="2409"/>
      <c r="D60" s="2409"/>
      <c r="E60" s="2157"/>
      <c r="F60" s="2480"/>
      <c r="G60" s="2480"/>
      <c r="H60" s="2488"/>
      <c r="I60" s="138"/>
      <c r="J60" s="3139"/>
      <c r="K60" s="3137"/>
      <c r="L60" s="2481" t="s">
        <v>2231</v>
      </c>
      <c r="M60" s="1750"/>
      <c r="N60" s="2483" t="e">
        <f ca="1">NUMBERSTRING(INT(N59*10000),2)&amp;"元整"</f>
        <v>#VALUE!</v>
      </c>
      <c r="O60" s="2484"/>
    </row>
    <row r="61" spans="1:35" ht="13.5" thickBot="1">
      <c r="A61" s="3084" t="s">
        <v>2235</v>
      </c>
      <c r="B61" s="3084"/>
      <c r="C61" s="3084"/>
      <c r="D61" s="3084"/>
      <c r="E61" s="3084"/>
      <c r="F61" s="2480"/>
      <c r="G61" s="2480"/>
      <c r="H61" s="2488"/>
      <c r="I61" s="138"/>
      <c r="J61" s="1801">
        <f>J59+1</f>
        <v>6</v>
      </c>
      <c r="K61" s="3137" t="s">
        <v>2236</v>
      </c>
      <c r="L61" s="3137"/>
      <c r="M61" s="1753"/>
      <c r="N61" s="1754" t="e">
        <f ca="1">ROUND(N59*10000/'数据-汇总表'!E3,0)</f>
        <v>#VALUE!</v>
      </c>
      <c r="O61" s="2489"/>
    </row>
    <row r="62" spans="1:35" ht="12.75">
      <c r="A62" s="3100" t="s">
        <v>2237</v>
      </c>
      <c r="B62" s="3101"/>
      <c r="C62" s="1793"/>
      <c r="D62" s="1793" t="s">
        <v>2238</v>
      </c>
      <c r="E62" s="192" t="s">
        <v>2239</v>
      </c>
      <c r="F62" s="2480"/>
      <c r="G62" s="2480"/>
      <c r="H62" s="2488"/>
      <c r="I62" s="138"/>
    </row>
    <row r="63" spans="1:35" ht="12.75">
      <c r="A63" s="203" t="s">
        <v>775</v>
      </c>
      <c r="B63" s="193" t="s">
        <v>2240</v>
      </c>
      <c r="C63" s="194">
        <f ca="1">ROUND((C64+C65)/(1+'数据-取费表'!C42),0)</f>
        <v>30000</v>
      </c>
      <c r="D63" s="195"/>
      <c r="E63" s="196"/>
      <c r="F63" s="2480"/>
      <c r="G63" s="2480"/>
      <c r="H63" s="2488"/>
      <c r="I63" s="138"/>
      <c r="J63" s="3162" t="s">
        <v>2241</v>
      </c>
      <c r="K63" s="2490" t="s">
        <v>2242</v>
      </c>
      <c r="L63" s="1741" t="e">
        <f>IF(M49&gt;10000,M49*0.5%,IF(AND(M49&gt;1000,M49&lt;=10000),M49*1%,IF(AND(M49&gt;100,M49&lt;=1000),M49*3%,IF(AND(M49&gt;10,M49&lt;=100),M49*5%,M49*8%))))</f>
        <v>#VALUE!</v>
      </c>
      <c r="M63" s="24" t="e">
        <f>ROUND(L63,1)</f>
        <v>#VALUE!</v>
      </c>
      <c r="Z63" s="2414"/>
      <c r="AI63" s="2415"/>
    </row>
    <row r="64" spans="1:35" ht="14.25" customHeight="1">
      <c r="A64" s="197" t="s">
        <v>770</v>
      </c>
      <c r="B64" s="198" t="s">
        <v>2243</v>
      </c>
      <c r="C64" s="199">
        <f ca="1">D45</f>
        <v>31500</v>
      </c>
      <c r="D64" s="200" t="s">
        <v>32</v>
      </c>
      <c r="E64" s="201"/>
      <c r="F64" s="2480"/>
      <c r="G64" s="2480"/>
      <c r="H64" s="2488"/>
      <c r="I64" s="138"/>
      <c r="J64" s="3162"/>
      <c r="K64" s="2490" t="s">
        <v>2244</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14"/>
      <c r="AI64" s="2415"/>
    </row>
    <row r="65" spans="1:35" ht="14.25" customHeight="1">
      <c r="A65" s="197" t="s">
        <v>771</v>
      </c>
      <c r="B65" s="198" t="s">
        <v>2246</v>
      </c>
      <c r="C65" s="202"/>
      <c r="D65" s="200"/>
      <c r="E65" s="201"/>
      <c r="F65" s="2480"/>
      <c r="G65" s="2480"/>
      <c r="H65" s="2488"/>
      <c r="I65" s="138"/>
      <c r="J65" s="3162"/>
      <c r="K65" s="2490" t="s">
        <v>2247</v>
      </c>
      <c r="L65" s="1741" t="e">
        <f>IF(M49&gt;1000,M49*0.1%,IF(AND(M49&gt;500,M49&lt;=1000),M49*0.5%,IF(AND(M49&gt;50,M49&lt;=500),M49*1%,IF(AND(M49&gt;1,M49&lt;=50),M49*1.5%))))</f>
        <v>#VALUE!</v>
      </c>
      <c r="M65" s="24" t="e">
        <f t="shared" si="1"/>
        <v>#VALUE!</v>
      </c>
      <c r="N65" s="138" t="s">
        <v>2245</v>
      </c>
      <c r="Z65" s="2414"/>
      <c r="AI65" s="2415"/>
    </row>
    <row r="66" spans="1:35" ht="14.25" customHeight="1">
      <c r="A66" s="203" t="s">
        <v>772</v>
      </c>
      <c r="B66" s="204" t="s">
        <v>2248</v>
      </c>
      <c r="C66" s="205"/>
      <c r="D66" s="206" t="s">
        <v>32</v>
      </c>
      <c r="E66" s="1765" t="s">
        <v>1366</v>
      </c>
      <c r="F66" s="2480"/>
      <c r="G66" s="2480"/>
      <c r="H66" s="2488"/>
      <c r="I66" s="138"/>
      <c r="J66" s="3162"/>
      <c r="K66" s="2490" t="s">
        <v>2249</v>
      </c>
      <c r="L66" s="1741" t="e">
        <f>M49*0.5%</f>
        <v>#VALUE!</v>
      </c>
      <c r="M66" s="24" t="e">
        <f>IF(L66&gt;0.5,0.5,ROUND(L66,0))</f>
        <v>#VALUE!</v>
      </c>
      <c r="N66" s="138" t="s">
        <v>2250</v>
      </c>
      <c r="Z66" s="2414"/>
      <c r="AI66" s="2415"/>
    </row>
    <row r="67" spans="1:35" ht="14.25" customHeight="1">
      <c r="A67" s="203" t="s">
        <v>773</v>
      </c>
      <c r="B67" s="204" t="s">
        <v>2251</v>
      </c>
      <c r="C67" s="207">
        <f ca="1">C63-C66</f>
        <v>30000</v>
      </c>
      <c r="D67" s="200" t="s">
        <v>32</v>
      </c>
      <c r="E67" s="201"/>
      <c r="F67" s="2480"/>
      <c r="G67" s="2480"/>
      <c r="H67" s="2488"/>
      <c r="I67" s="138"/>
      <c r="J67" s="3162"/>
      <c r="K67" s="2490" t="s">
        <v>2252</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4"/>
      <c r="AI67" s="2415"/>
    </row>
    <row r="68" spans="1:35" ht="14.25" customHeight="1" thickBot="1">
      <c r="A68" s="208" t="s">
        <v>774</v>
      </c>
      <c r="B68" s="209" t="s">
        <v>2253</v>
      </c>
      <c r="C68" s="210">
        <f ca="1">IF(C67&lt;=0,0,ROUND(C67*D68,0))</f>
        <v>1680</v>
      </c>
      <c r="D68" s="211">
        <f>'数据-取费表'!B41</f>
        <v>5.6000000000000001E-2</v>
      </c>
      <c r="E68" s="212"/>
      <c r="F68" s="2480"/>
      <c r="G68" s="2480"/>
      <c r="H68" s="2488"/>
      <c r="I68" s="138"/>
      <c r="J68" s="3162"/>
      <c r="K68" s="2490" t="s">
        <v>2254</v>
      </c>
      <c r="L68" s="1741" t="e">
        <f>IF(M49&gt;10000,M49*0.5%,IF(AND(M49&gt;5000,M49&lt;=10000),M49*1%,IF(AND(M49&gt;1000,M49&lt;=5000),M49*2%,IF(AND(M49&gt;200,M49&lt;=1000),M49*3%,M49*5%))))</f>
        <v>#VALUE!</v>
      </c>
      <c r="M68" s="24" t="e">
        <f>ROUND(L68,1)</f>
        <v>#VALUE!</v>
      </c>
      <c r="Z68" s="2414"/>
      <c r="AI68" s="2415"/>
    </row>
    <row r="69" spans="1:35" s="2437" customFormat="1" ht="16.5" customHeight="1">
      <c r="A69" s="2491"/>
      <c r="B69" s="2492"/>
      <c r="C69" s="2493"/>
      <c r="D69" s="2494"/>
      <c r="E69" s="2495"/>
      <c r="F69" s="2157"/>
      <c r="G69" s="2157"/>
      <c r="H69" s="2156"/>
      <c r="I69" s="2409"/>
      <c r="J69" s="3162"/>
      <c r="K69" s="2490" t="s">
        <v>2255</v>
      </c>
      <c r="L69" s="2496"/>
      <c r="M69" s="24" t="e">
        <f>ROUND(SUM(M63:M68),0)</f>
        <v>#VALUE!</v>
      </c>
      <c r="N69" s="1742" t="e">
        <f>M69/M49</f>
        <v>#VALUE!</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21" t="s">
        <v>2256</v>
      </c>
      <c r="B70" s="3122"/>
      <c r="C70" s="3122"/>
      <c r="D70" s="3122"/>
      <c r="E70" s="3122"/>
      <c r="F70" s="3122"/>
      <c r="G70" s="3122"/>
      <c r="H70" s="312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00" t="s">
        <v>2237</v>
      </c>
      <c r="B71" s="3101"/>
      <c r="C71" s="1793"/>
      <c r="D71" s="1793"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30000</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180</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095" t="s">
        <v>2265</v>
      </c>
      <c r="F76" s="3072"/>
      <c r="G76" s="3072"/>
      <c r="H76" s="312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180</v>
      </c>
      <c r="D78" s="226">
        <f>'数据-取费表'!B43</f>
        <v>6.000000000000001E-3</v>
      </c>
      <c r="E78" s="3081" t="s">
        <v>2270</v>
      </c>
      <c r="F78" s="3082"/>
      <c r="G78" s="3082"/>
      <c r="H78" s="309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29820</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165.66666666666666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17829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1" t="s">
        <v>2274</v>
      </c>
      <c r="B83" s="3122"/>
      <c r="C83" s="3122"/>
      <c r="D83" s="3122"/>
      <c r="E83" s="3122"/>
      <c r="F83" s="3122"/>
      <c r="G83" s="3122"/>
      <c r="H83" s="312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00" t="s">
        <v>2237</v>
      </c>
      <c r="B84" s="3101"/>
      <c r="C84" s="1793"/>
      <c r="D84" s="1793"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30000</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180</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9"/>
      <c r="G88" s="238" t="s">
        <v>2278</v>
      </c>
      <c r="H88" s="2508"/>
      <c r="I88" s="2503"/>
      <c r="J88" s="2958" t="s">
        <v>3054</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9"/>
      <c r="G90" s="3165" t="s">
        <v>3056</v>
      </c>
      <c r="H90" s="3166"/>
      <c r="I90" s="2503"/>
      <c r="J90" s="2958" t="s">
        <v>3055</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081" t="s">
        <v>2283</v>
      </c>
      <c r="F91" s="3082"/>
      <c r="G91" s="3082"/>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081" t="s">
        <v>2287</v>
      </c>
      <c r="F92" s="3082"/>
      <c r="G92" s="3082"/>
      <c r="H92" s="309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180</v>
      </c>
      <c r="D93" s="226">
        <f>'数据-取费表'!B43</f>
        <v>6.000000000000001E-3</v>
      </c>
      <c r="E93" s="3081" t="s">
        <v>2270</v>
      </c>
      <c r="F93" s="3082"/>
      <c r="G93" s="3082"/>
      <c r="H93" s="309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092" t="s">
        <v>2291</v>
      </c>
      <c r="F94" s="3093"/>
      <c r="G94" s="3093"/>
      <c r="H94" s="309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29820</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165.66666666666666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17829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63" t="s">
        <v>2293</v>
      </c>
      <c r="B100" s="3064"/>
      <c r="C100" s="3064"/>
      <c r="D100" s="3083"/>
      <c r="E100" s="3064" t="s">
        <v>2294</v>
      </c>
      <c r="F100" s="3064"/>
      <c r="G100" s="3064"/>
      <c r="H100" s="3083"/>
      <c r="I100" s="138"/>
    </row>
    <row r="101" spans="1:35" ht="18.75" customHeight="1">
      <c r="A101" s="3145" t="s">
        <v>2295</v>
      </c>
      <c r="B101" s="3146"/>
      <c r="C101" s="736" t="str">
        <f>C4</f>
        <v>成本法 (元)</v>
      </c>
      <c r="D101" s="737" t="str">
        <f>D4</f>
        <v>收益法 (元)</v>
      </c>
      <c r="E101" s="3159" t="s">
        <v>2296</v>
      </c>
      <c r="F101" s="3113"/>
      <c r="G101" s="2511" t="s">
        <v>2297</v>
      </c>
      <c r="H101" s="1045">
        <f ca="1">H118</f>
        <v>31500</v>
      </c>
      <c r="I101" s="138"/>
    </row>
    <row r="102" spans="1:35" ht="18.75" customHeight="1">
      <c r="A102" s="3115" t="s">
        <v>2298</v>
      </c>
      <c r="B102" s="2511" t="s">
        <v>2297</v>
      </c>
      <c r="C102" s="736">
        <f ca="1">C19</f>
        <v>32828</v>
      </c>
      <c r="D102" s="737">
        <f ca="1">D19</f>
        <v>30171</v>
      </c>
      <c r="E102" s="3159"/>
      <c r="F102" s="3113"/>
      <c r="G102" s="2511" t="s">
        <v>2299</v>
      </c>
      <c r="H102" s="371">
        <f ca="1">I118</f>
        <v>42568</v>
      </c>
      <c r="I102" s="138"/>
    </row>
    <row r="103" spans="1:35" ht="42.75" customHeight="1">
      <c r="A103" s="3115"/>
      <c r="B103" s="2511" t="s">
        <v>2299</v>
      </c>
      <c r="C103" s="738">
        <f ca="1">C20</f>
        <v>44362</v>
      </c>
      <c r="D103" s="739">
        <f ca="1">D20</f>
        <v>40771</v>
      </c>
      <c r="E103" s="3154" t="s">
        <v>2300</v>
      </c>
      <c r="F103" s="3155"/>
      <c r="G103" s="2512" t="s">
        <v>2301</v>
      </c>
      <c r="H103" s="1045">
        <f>IF(D36="正常操作",H104+H105+H106,H105+H106)</f>
        <v>0</v>
      </c>
      <c r="I103" s="138"/>
    </row>
    <row r="104" spans="1:35" ht="18.75" customHeight="1">
      <c r="A104" s="3115" t="s">
        <v>2302</v>
      </c>
      <c r="B104" s="2513" t="s">
        <v>2297</v>
      </c>
      <c r="C104" s="740">
        <f ca="1">H118</f>
        <v>31500</v>
      </c>
      <c r="D104" s="741"/>
      <c r="E104" s="2258" t="s">
        <v>2303</v>
      </c>
      <c r="F104" s="2249"/>
      <c r="G104" s="2512" t="s">
        <v>2301</v>
      </c>
      <c r="H104" s="1046">
        <f>IF(D36="同一抵押权人同一抵押物续贷",C36&amp;"（未扣减，详见特别提示）",C36)</f>
        <v>0</v>
      </c>
      <c r="I104" s="138"/>
    </row>
    <row r="105" spans="1:35" ht="18.75" customHeight="1" thickBot="1">
      <c r="A105" s="3116"/>
      <c r="B105" s="2514" t="s">
        <v>2299</v>
      </c>
      <c r="C105" s="742">
        <f ca="1">I118</f>
        <v>42568</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12" t="str">
        <f>IF(项目基本情况!E8="已注销","——","3.房地产抵押价值")</f>
        <v>3.房地产抵押价值</v>
      </c>
      <c r="F107" s="3113"/>
      <c r="G107" s="2511" t="s">
        <v>2297</v>
      </c>
      <c r="H107" s="1045">
        <f ca="1">IF(E107="——","——",H101-H103)</f>
        <v>31500</v>
      </c>
      <c r="I107" s="138"/>
    </row>
    <row r="108" spans="1:35" ht="18.75" customHeight="1">
      <c r="A108" s="138"/>
      <c r="B108" s="138"/>
      <c r="C108" s="138"/>
      <c r="D108" s="138"/>
      <c r="E108" s="3112"/>
      <c r="F108" s="3113"/>
      <c r="G108" s="2511" t="s">
        <v>2299</v>
      </c>
      <c r="H108" s="371">
        <f ca="1">ROUND(H107*10000/'数据-汇总表'!E3,0)</f>
        <v>42568</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1" t="s">
        <v>2297</v>
      </c>
      <c r="H109" s="348" t="str">
        <f>IF(E109="——","——",H101-H105-H106)</f>
        <v>——</v>
      </c>
      <c r="I109" s="138"/>
    </row>
    <row r="110" spans="1:35" ht="18.75" customHeight="1">
      <c r="A110" s="138"/>
      <c r="B110" s="138"/>
      <c r="C110" s="138"/>
      <c r="D110" s="138"/>
      <c r="E110" s="3112"/>
      <c r="F110" s="3113"/>
      <c r="G110" s="2511" t="s">
        <v>2299</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11" t="s">
        <v>2297</v>
      </c>
      <c r="H111" s="1045" t="str">
        <f>IF(E111="——","——",N59)</f>
        <v>——</v>
      </c>
      <c r="I111" s="138"/>
    </row>
    <row r="112" spans="1:35" ht="18.75" customHeight="1" thickBot="1">
      <c r="A112" s="138"/>
      <c r="B112" s="138"/>
      <c r="C112" s="138"/>
      <c r="D112" s="138"/>
      <c r="E112" s="3149"/>
      <c r="F112" s="3150"/>
      <c r="G112" s="2516" t="s">
        <v>2299</v>
      </c>
      <c r="H112" s="790" t="str">
        <f>IF(E111="——","——",N61)</f>
        <v>——</v>
      </c>
      <c r="I112" s="138"/>
    </row>
    <row r="113" spans="1:11" ht="18.75" customHeight="1">
      <c r="A113" s="138"/>
      <c r="B113" s="138"/>
      <c r="C113" s="138"/>
      <c r="D113" s="138"/>
      <c r="E113" s="3117" t="s">
        <v>2305</v>
      </c>
      <c r="F113" s="3117"/>
      <c r="G113" s="3117"/>
      <c r="H113" s="3117"/>
      <c r="I113" s="138"/>
    </row>
    <row r="114" spans="1:11" ht="3.75" customHeight="1">
      <c r="A114" s="2409"/>
      <c r="B114" s="2409"/>
      <c r="C114" s="2409"/>
      <c r="D114" s="2409"/>
      <c r="E114" s="2487"/>
      <c r="F114" s="2487"/>
      <c r="G114" s="2487"/>
      <c r="H114" s="2487"/>
      <c r="I114" s="2409"/>
    </row>
    <row r="115" spans="1:11" ht="18.75" customHeight="1">
      <c r="A115" s="3130" t="s">
        <v>2307</v>
      </c>
      <c r="B115" s="3131"/>
      <c r="C115" s="3131"/>
      <c r="D115" s="3131"/>
      <c r="E115" s="3131"/>
      <c r="F115" s="3131"/>
      <c r="G115" s="3131"/>
      <c r="H115" s="3131"/>
      <c r="I115" s="3132"/>
    </row>
    <row r="116" spans="1:11" ht="27" customHeight="1">
      <c r="A116" s="3020" t="s">
        <v>2308</v>
      </c>
      <c r="B116" s="3118" t="s">
        <v>2309</v>
      </c>
      <c r="C116" s="3118" t="s">
        <v>2310</v>
      </c>
      <c r="D116" s="3134" t="s">
        <v>2311</v>
      </c>
      <c r="E116" s="3135"/>
      <c r="F116" s="3126" t="s">
        <v>2312</v>
      </c>
      <c r="G116" s="3126"/>
      <c r="H116" s="3020" t="s">
        <v>2313</v>
      </c>
      <c r="I116" s="3020"/>
    </row>
    <row r="117" spans="1:11" ht="18.75" customHeight="1">
      <c r="A117" s="3020"/>
      <c r="B117" s="3119"/>
      <c r="C117" s="3119"/>
      <c r="D117" s="1787" t="s">
        <v>2314</v>
      </c>
      <c r="E117" s="1787" t="s">
        <v>2315</v>
      </c>
      <c r="F117" s="1787" t="s">
        <v>2314</v>
      </c>
      <c r="G117" s="1787" t="s">
        <v>2316</v>
      </c>
      <c r="H117" s="1787" t="s">
        <v>2314</v>
      </c>
      <c r="I117" s="1787" t="s">
        <v>2316</v>
      </c>
    </row>
    <row r="118" spans="1:11" ht="24.75" customHeight="1">
      <c r="A118" s="2517" t="str">
        <f>项目基本情况!S2</f>
        <v>北京市出让国有建设用地使用权及在建建筑物房地产</v>
      </c>
      <c r="B118" s="1787">
        <f>M18</f>
        <v>7400</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31500</v>
      </c>
      <c r="I118" s="1787">
        <f ca="1">ROUND(IF(D32="楼面单价",C32,H118*10000/B118),0)</f>
        <v>42568</v>
      </c>
    </row>
    <row r="119" spans="1:11" ht="18.75" customHeight="1">
      <c r="A119" s="3020" t="s">
        <v>2317</v>
      </c>
      <c r="B119" s="3020"/>
      <c r="C119" s="3020"/>
      <c r="D119" s="3123" t="e">
        <f ca="1">NUMBERSTRING(INT(D118*10000),2)&amp;"元整"</f>
        <v>#REF!</v>
      </c>
      <c r="E119" s="3125"/>
      <c r="F119" s="3123" t="e">
        <f ca="1">NUMBERSTRING(INT(F118*10000),2)&amp;"元整"</f>
        <v>#REF!</v>
      </c>
      <c r="G119" s="3125"/>
      <c r="H119" s="3123" t="str">
        <f ca="1">NUMBERSTRING(INT(H118*10000),2)&amp;"元整"</f>
        <v>叁亿壹仟伍佰万元整</v>
      </c>
      <c r="I119" s="3125"/>
    </row>
    <row r="120" spans="1:11" ht="18.75" customHeight="1">
      <c r="A120" s="3151" t="str">
        <f>IF(项目基本情况!B9="房地产市场价值","",MID(E103,3,LEN(E103)-2))</f>
        <v/>
      </c>
      <c r="B120" s="3152"/>
      <c r="C120" s="3153"/>
      <c r="D120" s="3151">
        <f>H103</f>
        <v>0</v>
      </c>
      <c r="E120" s="3152"/>
      <c r="F120" s="3152"/>
      <c r="G120" s="3152"/>
      <c r="H120" s="3152"/>
      <c r="I120" s="3153"/>
      <c r="K120" s="2414" t="str">
        <f>IF(D120=0,"故，本次评估不存在"&amp;A120,"故，本次评估"&amp;A120&amp;"为人民币"&amp;D120&amp;"万元整。")</f>
        <v>故，本次评估不存在</v>
      </c>
    </row>
    <row r="121" spans="1:11" ht="18.75" customHeight="1">
      <c r="A121" s="3127" t="s">
        <v>2317</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
      </c>
      <c r="B122" s="3114"/>
      <c r="C122" s="3114"/>
      <c r="D122" s="3151">
        <f ca="1">H107</f>
        <v>31500</v>
      </c>
      <c r="E122" s="3152"/>
      <c r="F122" s="3152"/>
      <c r="G122" s="3152"/>
      <c r="H122" s="3152"/>
      <c r="I122" s="3153"/>
    </row>
    <row r="123" spans="1:11" ht="18.75" customHeight="1">
      <c r="A123" s="3020" t="s">
        <v>2317</v>
      </c>
      <c r="B123" s="3020"/>
      <c r="C123" s="3020"/>
      <c r="D123" s="3123" t="str">
        <f ca="1">NUMBERSTRING(INT(D122*10000),2)&amp;"元整"</f>
        <v>叁亿壹仟伍佰万元整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0" t="s">
        <v>2317</v>
      </c>
      <c r="B125" s="3020"/>
      <c r="C125" s="3020"/>
      <c r="D125" s="3123" t="e">
        <f>NUMBERSTRING(INT(D124*10000),2)&amp;"元整"</f>
        <v>#VALUE!</v>
      </c>
      <c r="E125" s="3124"/>
      <c r="F125" s="3124"/>
      <c r="G125" s="3124"/>
      <c r="H125" s="3124"/>
      <c r="I125" s="3125"/>
    </row>
    <row r="126" spans="1:11" ht="18.75" customHeight="1">
      <c r="A126" s="3114" t="str">
        <f>IF(项目基本情况!B9="房地产市场价值","",MID(E111,3,LEN(E111)-2))</f>
        <v/>
      </c>
      <c r="B126" s="3114"/>
      <c r="C126" s="3114"/>
      <c r="D126" s="3151" t="str">
        <f>H111</f>
        <v>——</v>
      </c>
      <c r="E126" s="3152"/>
      <c r="F126" s="3152"/>
      <c r="G126" s="3152"/>
      <c r="H126" s="3152"/>
      <c r="I126" s="3153"/>
    </row>
    <row r="127" spans="1:11" ht="18.75" customHeight="1">
      <c r="A127" s="3020" t="s">
        <v>2317</v>
      </c>
      <c r="B127" s="3020"/>
      <c r="C127" s="3020"/>
      <c r="D127" s="3123" t="e">
        <f>NUMBERSTRING(INT(D126*10000),2)&amp;"元整"</f>
        <v>#VALUE!</v>
      </c>
      <c r="E127" s="3124"/>
      <c r="F127" s="3124"/>
      <c r="G127" s="3124"/>
      <c r="H127" s="3124"/>
      <c r="I127" s="3125"/>
    </row>
    <row r="128" spans="1:11" ht="21.75" customHeight="1">
      <c r="A128" s="3133" t="s">
        <v>2318</v>
      </c>
      <c r="B128" s="3133"/>
      <c r="C128" s="3133"/>
      <c r="D128" s="3133"/>
      <c r="E128" s="3133"/>
      <c r="F128" s="3133"/>
      <c r="G128" s="3133"/>
      <c r="H128" s="3133"/>
      <c r="I128" s="3133"/>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北京市出让国有建设用地使用权及在建建筑物房地产市场价值预评估</v>
      </c>
      <c r="C37" s="2976"/>
      <c r="D37" s="2976"/>
      <c r="E37" s="2976"/>
      <c r="F37" s="2976"/>
      <c r="G37" s="2976"/>
      <c r="H37" s="2976"/>
      <c r="I37" s="2976"/>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topLeftCell="A34"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8" t="s">
        <v>1372</v>
      </c>
      <c r="C1" s="2546" t="s">
        <v>2428</v>
      </c>
      <c r="D1" s="242"/>
      <c r="E1" s="242"/>
      <c r="F1" s="242"/>
      <c r="G1" s="1379">
        <f>MATCH(B1,'数据-取费表'!A6:A16,0)+5</f>
        <v>6</v>
      </c>
      <c r="H1" s="1282" t="str">
        <f>IF(ISERROR(FIND("住宅",B1)),"非住宅","住宅")</f>
        <v>非住宅</v>
      </c>
    </row>
    <row r="2" spans="1:8" s="244" customFormat="1" ht="18" customHeight="1">
      <c r="A2" s="245" t="s">
        <v>2327</v>
      </c>
      <c r="B2" s="246">
        <f ca="1">ROUND(IF(D2="——",C52/10000,C52/10000-E2),0)</f>
        <v>32828</v>
      </c>
      <c r="C2" s="243" t="s">
        <v>2328</v>
      </c>
      <c r="D2" s="2540" t="s">
        <v>70</v>
      </c>
      <c r="E2" s="1440"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44362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223452545</v>
      </c>
      <c r="D5" s="255" t="s">
        <v>2334</v>
      </c>
      <c r="E5" s="256" t="s">
        <v>2335</v>
      </c>
      <c r="F5" s="256" t="s">
        <v>2336</v>
      </c>
      <c r="G5" s="257"/>
    </row>
    <row r="6" spans="1:8" s="258" customFormat="1" ht="13.5" customHeight="1">
      <c r="A6" s="949" t="s">
        <v>2337</v>
      </c>
      <c r="B6" s="259" t="s">
        <v>2338</v>
      </c>
      <c r="C6" s="260">
        <f ca="1">'基准地价（汇总）'!B2*10000</f>
        <v>215690000</v>
      </c>
      <c r="D6" s="261"/>
      <c r="E6" s="262"/>
      <c r="F6" s="262"/>
      <c r="G6" s="263"/>
    </row>
    <row r="7" spans="1:8" s="258" customFormat="1" ht="13.5" customHeight="1">
      <c r="A7" s="949" t="s">
        <v>2339</v>
      </c>
      <c r="B7" s="259" t="s">
        <v>2340</v>
      </c>
      <c r="C7" s="264">
        <f ca="1">ROUND(C6*F7,0)</f>
        <v>6578545</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1184000</v>
      </c>
      <c r="D8" s="266"/>
      <c r="E8" s="264"/>
      <c r="F8" s="265"/>
      <c r="G8" s="2543" t="s">
        <v>3094</v>
      </c>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2345</v>
      </c>
      <c r="C10" s="269">
        <f ca="1">ROUND(D10*E10,0)</f>
        <v>1184000</v>
      </c>
      <c r="D10" s="1032">
        <f ca="1">IF(B1="",'数据-汇总表'!E6,IF(INDIRECT("'数据-取费表'!c"&amp;$G$1)="住宅",INDIRECT("'数据-取费表'!s"&amp;$G$1),INDIRECT("'数据-取费表'!k"&amp;$G$1)+INDIRECT("'数据-取费表'!s"&amp;$G$1)))</f>
        <v>7400</v>
      </c>
      <c r="E10" s="269">
        <f>'数据-取费表'!B28</f>
        <v>160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t="str">
        <f>IF(G19="已包含在土地取得成本中","0",ROUND(D19*E19,0))</f>
        <v>0</v>
      </c>
      <c r="D19" s="1036">
        <f ca="1">D9+D10</f>
        <v>7400</v>
      </c>
      <c r="E19" s="255">
        <f>'数据-取费表'!B31</f>
        <v>200</v>
      </c>
      <c r="F19" s="275"/>
      <c r="G19" s="2543" t="s">
        <v>3093</v>
      </c>
    </row>
    <row r="20" spans="1:7" s="258" customFormat="1" ht="13.5" customHeight="1">
      <c r="A20" s="299" t="s">
        <v>2439</v>
      </c>
      <c r="B20" s="254" t="s">
        <v>2440</v>
      </c>
      <c r="C20" s="276">
        <f ca="1">ROUND((C5+C19)*F20,0)</f>
        <v>4469051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9817388</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1" t="s">
        <v>2337</v>
      </c>
      <c r="B23" s="259" t="s">
        <v>2448</v>
      </c>
      <c r="C23" s="1381">
        <f ca="1">ROUND(IF('数据-取费表'!B22&lt;=1,C5*F22*'数据-取费表'!B22,C5*(POWER((1+F22),'数据-取费表'!B22)-1)),0)</f>
        <v>9720186</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f ca="1">ROUND(IF('数据-取费表'!B22&lt;=1,C20*F22*'数据-取费表'!B22/2,C20*(POWER((1+F22),'数据-取费表'!B22/2)-1)),0)</f>
        <v>97202</v>
      </c>
      <c r="D25" s="282"/>
      <c r="E25" s="285"/>
      <c r="F25" s="283"/>
      <c r="G25" s="286" t="s">
        <v>2453</v>
      </c>
    </row>
    <row r="26" spans="1:7" s="258" customFormat="1">
      <c r="A26" s="951"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45584319</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45584319</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307192132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20812500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18500000</v>
      </c>
      <c r="D34" s="261"/>
      <c r="E34" s="264"/>
      <c r="F34" s="301"/>
      <c r="G34" s="263"/>
    </row>
    <row r="35" spans="1:7" ht="13.5" customHeight="1">
      <c r="A35" s="951" t="s">
        <v>796</v>
      </c>
      <c r="B35" s="259" t="s">
        <v>2392</v>
      </c>
      <c r="C35" s="264">
        <f ca="1">ROUND(C34*F35,0)</f>
        <v>555000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1480000</v>
      </c>
      <c r="D37" s="261">
        <f ca="1">D19</f>
        <v>7400</v>
      </c>
      <c r="E37" s="293">
        <f>'数据-取费表'!B35</f>
        <v>200</v>
      </c>
      <c r="F37" s="303"/>
      <c r="G37" s="305"/>
    </row>
    <row r="38" spans="1:7" ht="13.5" customHeight="1">
      <c r="A38" s="951" t="s">
        <v>799</v>
      </c>
      <c r="B38" s="259" t="s">
        <v>2398</v>
      </c>
      <c r="C38" s="264">
        <f ca="1">ROUND(C34*F38,0)</f>
        <v>277500</v>
      </c>
      <c r="D38" s="264"/>
      <c r="E38" s="264"/>
      <c r="F38" s="303">
        <f>'数据-取费表'!B36</f>
        <v>1.4999999999999999E-2</v>
      </c>
      <c r="G38" s="263" t="s">
        <v>2393</v>
      </c>
    </row>
    <row r="39" spans="1:7" s="258" customFormat="1" ht="13.5" customHeight="1">
      <c r="A39" s="299" t="s">
        <v>2399</v>
      </c>
      <c r="B39" s="254" t="s">
        <v>2400</v>
      </c>
      <c r="C39" s="276">
        <f ca="1">ROUND(C33*F20,0)</f>
        <v>416250</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461725</v>
      </c>
      <c r="D41" s="279">
        <f ca="1">C44</f>
        <v>4.0000000000000002E-4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ROUND(IF('数据-取费表'!B22&lt;=1,C33*F22*'数据-取费表'!B20/2,C33*(POWER((1+F22),'数据-取费表'!B20/2)-1)),0)</f>
        <v>452672</v>
      </c>
      <c r="D42" s="282"/>
      <c r="E42" s="282"/>
      <c r="F42" s="283"/>
      <c r="G42" s="3069" t="s">
        <v>2456</v>
      </c>
    </row>
    <row r="43" spans="1:7" ht="13.5" customHeight="1">
      <c r="A43" s="951" t="s">
        <v>792</v>
      </c>
      <c r="B43" s="259" t="s">
        <v>2410</v>
      </c>
      <c r="C43" s="282">
        <f ca="1">ROUND(IF('数据-取费表'!B22&lt;=1,C39*F22*'数据-取费表'!B20/2,C39*(POWER((1+F22),'数据-取费表'!B20/2)-1)),0)</f>
        <v>9053</v>
      </c>
      <c r="D43" s="282"/>
      <c r="E43" s="282"/>
      <c r="F43" s="283"/>
      <c r="G43" s="3070"/>
    </row>
    <row r="44" spans="1:7" ht="13.5" customHeight="1">
      <c r="A44" s="951" t="s">
        <v>793</v>
      </c>
      <c r="B44" s="259" t="s">
        <v>2411</v>
      </c>
      <c r="C44" s="282">
        <f ca="1">ROUND(IF('数据-取费表'!B22&lt;=1,C40*F22*'数据-取费表'!B20/2,C40*(POWER((1+F22),'数据-取费表'!B20/2)-1)),4)</f>
        <v>4.0000000000000002E-4</v>
      </c>
      <c r="D44" s="282"/>
      <c r="E44" s="282"/>
      <c r="F44" s="283"/>
      <c r="G44" s="3071"/>
    </row>
    <row r="45" spans="1:7" s="258" customFormat="1" ht="13.5" customHeight="1">
      <c r="A45" s="299" t="s">
        <v>2412</v>
      </c>
      <c r="B45" s="288" t="s">
        <v>2378</v>
      </c>
      <c r="C45" s="289">
        <f ca="1">C46</f>
        <v>4245750</v>
      </c>
      <c r="D45" s="279">
        <f ca="1">C47</f>
        <v>4.0000000000000001E-3</v>
      </c>
      <c r="E45" s="280" t="s">
        <v>2404</v>
      </c>
      <c r="F45" s="290"/>
      <c r="G45" s="291" t="s">
        <v>2413</v>
      </c>
    </row>
    <row r="46" spans="1:7" s="258" customFormat="1" ht="13.5" customHeight="1">
      <c r="A46" s="951" t="s">
        <v>791</v>
      </c>
      <c r="B46" s="292" t="s">
        <v>2414</v>
      </c>
      <c r="C46" s="293">
        <f ca="1">ROUND((C33+C39)*F27,0)</f>
        <v>4245750</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28121246</v>
      </c>
      <c r="D49" s="276"/>
      <c r="E49" s="276"/>
      <c r="F49" s="308"/>
      <c r="G49" s="278" t="s">
        <v>2419</v>
      </c>
    </row>
    <row r="50" spans="1:7" s="302" customFormat="1">
      <c r="A50" s="299" t="s">
        <v>2420</v>
      </c>
      <c r="B50" s="254" t="s">
        <v>2421</v>
      </c>
      <c r="C50" s="276"/>
      <c r="D50" s="276"/>
      <c r="E50" s="276"/>
      <c r="F50" s="308">
        <f>IF('数据-取费表'!B24=0,'数据-取费表'!N16,1)</f>
        <v>0.75</v>
      </c>
      <c r="G50" s="291"/>
    </row>
    <row r="51" spans="1:7" ht="16.5" customHeight="1">
      <c r="A51" s="299" t="s">
        <v>2423</v>
      </c>
      <c r="B51" s="254" t="s">
        <v>2458</v>
      </c>
      <c r="C51" s="276">
        <f ca="1">ROUND(C49*F50,0)</f>
        <v>21090935</v>
      </c>
      <c r="D51" s="276"/>
      <c r="E51" s="276"/>
      <c r="F51" s="308"/>
      <c r="G51" s="278" t="s">
        <v>2425</v>
      </c>
    </row>
    <row r="52" spans="1:7" s="252" customFormat="1" ht="16.5" thickBot="1">
      <c r="A52" s="309" t="s">
        <v>2426</v>
      </c>
      <c r="B52" s="310"/>
      <c r="C52" s="311">
        <f ca="1">C31+C51</f>
        <v>328283067</v>
      </c>
      <c r="D52" s="310"/>
      <c r="E52" s="310"/>
      <c r="F52" s="310"/>
      <c r="G52" s="312"/>
    </row>
    <row r="55" spans="1:7" ht="15">
      <c r="B55" s="314" t="s">
        <v>2427</v>
      </c>
      <c r="C55" s="315"/>
    </row>
    <row r="56" spans="1:7">
      <c r="B56" s="317" t="s">
        <v>1507</v>
      </c>
      <c r="C56" s="319">
        <f ca="1">1-C57</f>
        <v>0.93599999999999994</v>
      </c>
    </row>
    <row r="57" spans="1:7">
      <c r="B57" s="317" t="s">
        <v>1508</v>
      </c>
      <c r="C57" s="318">
        <f ca="1">ROUND(C51/C52,3)</f>
        <v>6.4000000000000001E-2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-140</v>
      </c>
      <c r="C2" s="320" t="s">
        <v>2460</v>
      </c>
      <c r="D2" s="320"/>
      <c r="E2" s="320"/>
      <c r="F2" s="320"/>
      <c r="G2" s="320"/>
      <c r="H2" s="320"/>
      <c r="I2" s="320"/>
      <c r="J2" s="320"/>
      <c r="K2" s="320"/>
    </row>
    <row r="3" spans="1:33" ht="18" customHeight="1" thickBot="1">
      <c r="A3" s="247" t="s">
        <v>2329</v>
      </c>
      <c r="B3" s="248">
        <f ca="1">ROUND(B2*10000/IF(C1="",'数据-汇总表'!E3,INDIRECT("'数据-取费表'!K"&amp;$K$1)),0)</f>
        <v>-189</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7400</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7400</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118</v>
      </c>
      <c r="D18" s="1033"/>
      <c r="E18" s="24"/>
      <c r="F18" s="976"/>
      <c r="G18" s="2549"/>
      <c r="H18" s="1577"/>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2495</v>
      </c>
      <c r="C20" s="24">
        <f ca="1">ROUND(D20*E20/10000,0)</f>
        <v>118</v>
      </c>
      <c r="D20" s="1033">
        <f ca="1">IF(C1="",'数据-汇总表'!E6,IF(INDIRECT("'数据-取费表'!c"&amp;$K$1)="住宅",INDIRECT("'数据-取费表'!s"&amp;$K$1),INDIRECT("'数据-取费表'!k"&amp;$K$1)+INDIRECT("'数据-取费表'!s"&amp;$K$1)))</f>
        <v>7400</v>
      </c>
      <c r="E20" s="24">
        <f>'数据-取费表'!B28</f>
        <v>160</v>
      </c>
      <c r="F20" s="976"/>
      <c r="G20" s="15"/>
      <c r="H20" s="981"/>
      <c r="I20" s="981"/>
      <c r="J20" s="981"/>
      <c r="K20" s="982"/>
    </row>
    <row r="21" spans="1:33" s="975" customFormat="1" ht="13.5" customHeight="1">
      <c r="A21" s="961" t="s">
        <v>802</v>
      </c>
      <c r="B21" s="985" t="s">
        <v>2496</v>
      </c>
      <c r="C21" s="986">
        <f ca="1">C16+C17+C18</f>
        <v>118</v>
      </c>
      <c r="D21" s="987"/>
      <c r="E21" s="325"/>
      <c r="F21" s="325"/>
      <c r="G21" s="140" t="s">
        <v>2497</v>
      </c>
      <c r="H21" s="979"/>
      <c r="I21" s="979"/>
      <c r="J21" s="979"/>
      <c r="K21" s="980"/>
    </row>
    <row r="22" spans="1:33" s="975" customFormat="1" ht="13.5" customHeight="1">
      <c r="A22" s="961" t="s">
        <v>2469</v>
      </c>
      <c r="B22" s="985" t="s">
        <v>2498</v>
      </c>
      <c r="C22" s="986">
        <f ca="1">ROUND(C21*F22,0)</f>
        <v>2</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51" t="str">
        <f>IF('数据-取费表'!B22&lt;=1,"（1）-（3）项×年利率×建设期÷2","（1）-（3）项×((1+年利率)^(建设期÷2)-1)")</f>
        <v>（1）-（3）项×年利率×建设期÷2</v>
      </c>
      <c r="H27" s="979"/>
      <c r="I27" s="979"/>
      <c r="J27" s="979"/>
      <c r="K27" s="980"/>
    </row>
    <row r="28" spans="1:33" s="333" customFormat="1" ht="13.5" customHeight="1">
      <c r="A28" s="961" t="s">
        <v>2509</v>
      </c>
      <c r="B28" s="2552" t="s">
        <v>2510</v>
      </c>
      <c r="C28" s="331">
        <f ca="1">C30</f>
        <v>24</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24</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-140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169" t="s">
        <v>1397</v>
      </c>
      <c r="C6" s="1296">
        <f ca="1">ROUND(F6*F8*F7*(1-F9)/10000,0)</f>
        <v>0</v>
      </c>
      <c r="D6" s="164" t="s">
        <v>3028</v>
      </c>
      <c r="E6" s="347" t="s">
        <v>1399</v>
      </c>
      <c r="F6" s="348">
        <f ca="1">INDIRECT("'数据-取费表'!u"&amp;$G$1)</f>
        <v>0</v>
      </c>
      <c r="G6" s="1843"/>
      <c r="H6" s="1291" t="s">
        <v>1031</v>
      </c>
      <c r="I6" s="3169" t="s">
        <v>1397</v>
      </c>
      <c r="J6" s="346">
        <f ca="1">ROUND(M6*M8*M7*(1-M9)/10000,0)</f>
        <v>0</v>
      </c>
      <c r="K6" s="164" t="s">
        <v>3027</v>
      </c>
      <c r="L6" s="347" t="s">
        <v>1399</v>
      </c>
      <c r="M6" s="348">
        <f ca="1">INDIRECT("'数据-取费表'!z"&amp;$G$1)</f>
        <v>0</v>
      </c>
    </row>
    <row r="7" spans="1:37" ht="18" customHeight="1">
      <c r="A7" s="1295"/>
      <c r="B7" s="3170"/>
      <c r="C7" s="1297"/>
      <c r="D7" s="352"/>
      <c r="E7" s="1298" t="s">
        <v>1400</v>
      </c>
      <c r="F7" s="348">
        <f ca="1">IF(INDIRECT("'数据-取费表'!ah"&amp;$G$1)="",INDIRECT("'数据-取费表'!k"&amp;$G$1),INDIRECT("'数据-取费表'!ah"&amp;$G$1))</f>
        <v>0</v>
      </c>
      <c r="G7" s="1843"/>
      <c r="H7" s="349"/>
      <c r="I7" s="3170"/>
      <c r="J7" s="351"/>
      <c r="K7" s="352"/>
      <c r="L7" s="347" t="s">
        <v>1400</v>
      </c>
      <c r="M7" s="348">
        <f ca="1">F7</f>
        <v>0</v>
      </c>
    </row>
    <row r="8" spans="1:37" ht="18" customHeight="1">
      <c r="A8" s="349"/>
      <c r="B8" s="3170"/>
      <c r="C8" s="351"/>
      <c r="D8" s="352"/>
      <c r="E8" s="347" t="s">
        <v>1401</v>
      </c>
      <c r="F8" s="348">
        <f ca="1">INDIRECT("'数据-取费表'!ai"&amp;$G$1)</f>
        <v>0</v>
      </c>
      <c r="G8" s="1843"/>
      <c r="H8" s="349"/>
      <c r="I8" s="3170"/>
      <c r="J8" s="351"/>
      <c r="K8" s="352"/>
      <c r="L8" s="347" t="s">
        <v>1401</v>
      </c>
      <c r="M8" s="348">
        <f ca="1">INDIRECT("'数据-取费表'!ai"&amp;$G$1)</f>
        <v>0</v>
      </c>
    </row>
    <row r="9" spans="1:37" ht="18" customHeight="1">
      <c r="A9" s="349"/>
      <c r="B9" s="3171"/>
      <c r="C9" s="351"/>
      <c r="D9" s="352"/>
      <c r="E9" s="347" t="s">
        <v>1402</v>
      </c>
      <c r="F9" s="357">
        <f ca="1">INDIRECT("'数据-取费表'!w"&amp;$G$1)</f>
        <v>0</v>
      </c>
      <c r="G9" s="1843"/>
      <c r="H9" s="349"/>
      <c r="I9" s="3171"/>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16" t="s">
        <v>3036</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ROUND(F49*F51*F50*(1-F52)/10000,0)</f>
        <v>0</v>
      </c>
      <c r="D49" s="1276" t="s">
        <v>3029</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3036</v>
      </c>
      <c r="E53" s="358" t="s">
        <v>1404</v>
      </c>
      <c r="F53" s="1366"/>
      <c r="I53" s="1897" t="s">
        <v>1541</v>
      </c>
      <c r="J53" s="2943">
        <f ca="1">IF(M47="住宅",IF(D1="——",MAX(J51,L48),MAX(J51,L48-'数据-取费表'!B24)),IF(D1="——",MIN(J51,L48),MIN(J51,L48-'数据-取费表'!B24)))</f>
        <v>0</v>
      </c>
      <c r="K53" s="3167" t="s">
        <v>1542</v>
      </c>
      <c r="L53" s="3168"/>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c r="K56" s="1879" t="s">
        <v>1549</v>
      </c>
      <c r="L56" s="1882">
        <f ca="1">IF(L48&lt;J51,"——",L48-J53)</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1551</v>
      </c>
      <c r="L57" s="1882">
        <f ca="1">IF(L48&lt;J51,"——",IF(L55="比较法",L49,IF(L55="基准地价",L50,L51)))</f>
        <v>0</v>
      </c>
      <c r="O57" s="1876" t="s">
        <v>1037</v>
      </c>
      <c r="P57" s="1877" t="s">
        <v>1552</v>
      </c>
      <c r="Q57" s="1878" t="e">
        <f ca="1">L60</f>
        <v>#DIV/0!</v>
      </c>
      <c r="R57" s="1878" t="s">
        <v>1553</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0</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34"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c r="E1" s="1813" t="s">
        <v>1381</v>
      </c>
      <c r="F1" s="1283">
        <f ca="1">J53</f>
        <v>24.01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10635</v>
      </c>
      <c r="C2" s="1837" t="s">
        <v>1585</v>
      </c>
      <c r="D2" s="1929">
        <f ca="1">C40+J29+L46</f>
        <v>106352930</v>
      </c>
      <c r="E2" s="1838" t="s">
        <v>1586</v>
      </c>
      <c r="F2" s="1839"/>
      <c r="G2" s="1840"/>
      <c r="H2" s="1832"/>
      <c r="I2" s="1832"/>
      <c r="J2" s="1832"/>
      <c r="K2" s="1833"/>
      <c r="L2" s="1832"/>
      <c r="M2" s="1832"/>
    </row>
    <row r="3" spans="1:37" ht="18" customHeight="1" thickBot="1">
      <c r="A3" s="1841" t="s">
        <v>1587</v>
      </c>
      <c r="B3" s="1842">
        <f ca="1">IF(ISERROR(D2/F43),0,ROUND(D2/F43,0))</f>
        <v>55975</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7499162</v>
      </c>
      <c r="D5" s="1814" t="s">
        <v>1595</v>
      </c>
      <c r="E5" s="1293"/>
      <c r="F5" s="1294"/>
      <c r="G5" s="1843"/>
      <c r="H5" s="344">
        <v>1</v>
      </c>
      <c r="I5" s="345" t="s">
        <v>1594</v>
      </c>
      <c r="J5" s="1292">
        <f ca="1">J6+J10+J12</f>
        <v>0</v>
      </c>
      <c r="K5" s="1814" t="s">
        <v>1595</v>
      </c>
      <c r="L5" s="1293"/>
      <c r="M5" s="1294"/>
    </row>
    <row r="6" spans="1:37" ht="18" customHeight="1">
      <c r="A6" s="1291" t="s">
        <v>1031</v>
      </c>
      <c r="B6" s="3169" t="s">
        <v>1397</v>
      </c>
      <c r="C6" s="1296">
        <f ca="1">ROUND(F6*F8*F7*(1-F9),0)</f>
        <v>7489800</v>
      </c>
      <c r="D6" s="164" t="s">
        <v>3025</v>
      </c>
      <c r="E6" s="347" t="s">
        <v>1399</v>
      </c>
      <c r="F6" s="348">
        <f ca="1">INDIRECT("'数据-取费表'!u"&amp;$G$1)</f>
        <v>12</v>
      </c>
      <c r="G6" s="1843"/>
      <c r="H6" s="1291" t="s">
        <v>1031</v>
      </c>
      <c r="I6" s="3169" t="s">
        <v>1397</v>
      </c>
      <c r="J6" s="346">
        <f ca="1">ROUND(M6*M8*M7*(1-M9),0)</f>
        <v>0</v>
      </c>
      <c r="K6" s="1826" t="s">
        <v>3026</v>
      </c>
      <c r="L6" s="347" t="s">
        <v>1399</v>
      </c>
      <c r="M6" s="348">
        <f ca="1">INDIRECT("'数据-取费表'!z"&amp;$G$1)</f>
        <v>0</v>
      </c>
    </row>
    <row r="7" spans="1:37" ht="18" customHeight="1">
      <c r="A7" s="1295"/>
      <c r="B7" s="3170"/>
      <c r="C7" s="1297"/>
      <c r="D7" s="352"/>
      <c r="E7" s="1298" t="s">
        <v>1400</v>
      </c>
      <c r="F7" s="348">
        <f ca="1">IF(INDIRECT("'数据-取费表'!ah"&amp;$G$1)="",INDIRECT("'数据-取费表'!k"&amp;$G$1),INDIRECT("'数据-取费表'!ah"&amp;$G$1))</f>
        <v>1900</v>
      </c>
      <c r="G7" s="1843"/>
      <c r="H7" s="349"/>
      <c r="I7" s="3170"/>
      <c r="J7" s="351"/>
      <c r="K7" s="352"/>
      <c r="L7" s="347" t="s">
        <v>1400</v>
      </c>
      <c r="M7" s="348">
        <f ca="1">F7</f>
        <v>1900</v>
      </c>
    </row>
    <row r="8" spans="1:37" ht="18" customHeight="1">
      <c r="A8" s="349"/>
      <c r="B8" s="3170"/>
      <c r="C8" s="351"/>
      <c r="D8" s="352"/>
      <c r="E8" s="347" t="s">
        <v>1401</v>
      </c>
      <c r="F8" s="348">
        <f ca="1">INDIRECT("'数据-取费表'!ai"&amp;$G$1)</f>
        <v>365</v>
      </c>
      <c r="G8" s="1843"/>
      <c r="H8" s="349"/>
      <c r="I8" s="3170"/>
      <c r="J8" s="351"/>
      <c r="K8" s="352"/>
      <c r="L8" s="347" t="s">
        <v>1401</v>
      </c>
      <c r="M8" s="348">
        <f ca="1">INDIRECT("'数据-取费表'!ai"&amp;$G$1)</f>
        <v>365</v>
      </c>
    </row>
    <row r="9" spans="1:37" ht="18" customHeight="1">
      <c r="A9" s="349"/>
      <c r="B9" s="3171"/>
      <c r="C9" s="351"/>
      <c r="D9" s="352"/>
      <c r="E9" s="347" t="s">
        <v>1402</v>
      </c>
      <c r="F9" s="357">
        <f ca="1">INDIRECT("'数据-取费表'!w"&amp;$G$1)</f>
        <v>0.1</v>
      </c>
      <c r="G9" s="1843"/>
      <c r="H9" s="349"/>
      <c r="I9" s="3171"/>
      <c r="J9" s="351"/>
      <c r="K9" s="352"/>
      <c r="L9" s="358" t="s">
        <v>1402</v>
      </c>
      <c r="M9" s="359">
        <f ca="1">INDIRECT("'数据-取费表'!ab"&amp;$G$1)</f>
        <v>0</v>
      </c>
    </row>
    <row r="10" spans="1:37" ht="18" customHeight="1">
      <c r="A10" s="1291" t="s">
        <v>1035</v>
      </c>
      <c r="B10" s="1815" t="s">
        <v>1403</v>
      </c>
      <c r="C10" s="361">
        <f ca="1">ROUND(IF(F10="押一",C6/12*F11,IF(F10="押二",C6/12*2*F11,IF(F10="押三",C6/12*3*F11,C11*F11))),0)</f>
        <v>9362</v>
      </c>
      <c r="D10" s="1816" t="s">
        <v>3036</v>
      </c>
      <c r="E10" s="358" t="s">
        <v>1404</v>
      </c>
      <c r="F10" s="1366" t="s">
        <v>3098</v>
      </c>
      <c r="G10" s="1843"/>
      <c r="H10" s="1291" t="s">
        <v>1035</v>
      </c>
      <c r="I10" s="1815" t="s">
        <v>1403</v>
      </c>
      <c r="J10" s="346">
        <f ca="1">ROUND(IF(M10="押一",J6/12*M11,IF(M10="押二",J6/12*2*M11,IF(M10="押三",J6/12*3*M11,J11*M11))),0)</f>
        <v>0</v>
      </c>
      <c r="K10" s="1827" t="s">
        <v>3038</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5415241</v>
      </c>
      <c r="D13" s="1331" t="s">
        <v>1409</v>
      </c>
      <c r="E13" s="1331" t="s">
        <v>1410</v>
      </c>
      <c r="F13" s="1332">
        <f ca="1">INDIRECT("'数据-取费表'!y"&amp;$G$1)</f>
        <v>0.75</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4750000</v>
      </c>
      <c r="D14" s="1792" t="s">
        <v>1412</v>
      </c>
      <c r="E14" s="1786"/>
      <c r="F14" s="364"/>
      <c r="G14" s="1843"/>
      <c r="H14" s="1201" t="s">
        <v>1031</v>
      </c>
      <c r="I14" s="347" t="s">
        <v>1413</v>
      </c>
      <c r="J14" s="24">
        <f ca="1">C29</f>
        <v>7220321</v>
      </c>
      <c r="K14" s="15"/>
      <c r="L14" s="979"/>
      <c r="M14" s="980"/>
    </row>
    <row r="15" spans="1:37" s="1850" customFormat="1" ht="18" customHeight="1" thickBot="1">
      <c r="A15" s="1201" t="s">
        <v>1032</v>
      </c>
      <c r="B15" s="347" t="s">
        <v>1414</v>
      </c>
      <c r="C15" s="24">
        <f ca="1">ROUND(C14*F15,0)</f>
        <v>142500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168956</v>
      </c>
      <c r="K16" s="1337" t="s">
        <v>1419</v>
      </c>
      <c r="L16" s="1338"/>
      <c r="M16" s="1294"/>
    </row>
    <row r="17" spans="1:37" s="1850" customFormat="1" ht="18" customHeight="1">
      <c r="A17" s="1201" t="s">
        <v>1384</v>
      </c>
      <c r="B17" s="347" t="s">
        <v>1420</v>
      </c>
      <c r="C17" s="24">
        <f ca="1">ROUND(F17*(F43+INDIRECT("'数据-取费表'!S"&amp;$G$1)),0)</f>
        <v>380000</v>
      </c>
      <c r="D17" s="347" t="s">
        <v>1421</v>
      </c>
      <c r="E17" s="347" t="s">
        <v>1422</v>
      </c>
      <c r="F17" s="26">
        <f>'数据-取费表'!B35</f>
        <v>200</v>
      </c>
      <c r="G17" s="1846"/>
      <c r="H17" s="1201" t="s">
        <v>1031</v>
      </c>
      <c r="I17" s="347" t="s">
        <v>1423</v>
      </c>
      <c r="J17" s="24">
        <f ca="1">ROUND(IF(项目基本情况!B11="自然人",J6*M17/(1+'数据-取费表'!C42),J18+J19+J20),0)</f>
        <v>60651</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71250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5343750</v>
      </c>
      <c r="D19" s="140" t="s">
        <v>1430</v>
      </c>
      <c r="E19" s="1810"/>
      <c r="F19" s="26"/>
      <c r="G19" s="1843"/>
      <c r="H19" s="1201" t="s">
        <v>1032</v>
      </c>
      <c r="I19" s="347" t="s">
        <v>1431</v>
      </c>
      <c r="J19" s="24">
        <f ca="1">IF(K19="按租金收入计税",ROUND(J6*M19/(1+'数据-取费表'!C42),0),ROUND(C29*M19*0.7,0))</f>
        <v>60651</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106875</v>
      </c>
      <c r="D20" s="369" t="s">
        <v>1434</v>
      </c>
      <c r="E20" s="347" t="s">
        <v>1416</v>
      </c>
      <c r="F20" s="367">
        <f>'数据-取费表'!B37</f>
        <v>0.02</v>
      </c>
      <c r="G20" s="1846"/>
      <c r="H20" s="1201" t="s">
        <v>1383</v>
      </c>
      <c r="I20" s="164" t="s">
        <v>1435</v>
      </c>
      <c r="J20" s="25">
        <f ca="1">ROUND(M20*M21,0)</f>
        <v>0</v>
      </c>
      <c r="K20" s="370" t="s">
        <v>1436</v>
      </c>
      <c r="L20" s="347" t="s">
        <v>1437</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ROUND(J14*M22,0)</f>
        <v>108305</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118552</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ROUND(J13*M23,0)</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ROUND(J5*M24,0)</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-168956</v>
      </c>
      <c r="K25" s="1345" t="s">
        <v>1458</v>
      </c>
      <c r="L25" s="1346"/>
      <c r="M25" s="1347"/>
    </row>
    <row r="26" spans="1:37" ht="18" customHeight="1">
      <c r="A26" s="1201" t="s">
        <v>1030</v>
      </c>
      <c r="B26" s="347" t="s">
        <v>1459</v>
      </c>
      <c r="C26" s="24">
        <f ca="1">ROUND((C19+C20)*F26,0)</f>
        <v>1090125</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7220321</v>
      </c>
      <c r="D29" s="1342"/>
      <c r="E29" s="1340"/>
      <c r="F29" s="1343"/>
      <c r="G29" s="1846"/>
      <c r="H29" s="380" t="s">
        <v>1029</v>
      </c>
      <c r="I29" s="381" t="s">
        <v>1473</v>
      </c>
      <c r="J29" s="382">
        <f ca="1">ROUND(J26/(1+F40)^F41,0)</f>
        <v>0</v>
      </c>
      <c r="K29" s="383" t="s">
        <v>1474</v>
      </c>
      <c r="L29" s="384"/>
      <c r="M29" s="385">
        <f ca="1">INDIRECT("'数据-取费表'!k"&amp;$G$1)</f>
        <v>7400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1446853</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1255433</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399456</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855977</v>
      </c>
      <c r="D33" s="1820" t="s">
        <v>3101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108305</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8123</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74991.600000000006</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6052309</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106352930</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24.01</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ROUND(C40/F43,0)</f>
        <v>55975</v>
      </c>
      <c r="D43" s="383" t="s">
        <v>1482</v>
      </c>
      <c r="E43" s="384" t="s">
        <v>1483</v>
      </c>
      <c r="F43" s="385">
        <f>'数据-基础表'!I13</f>
        <v>1900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-119056554</v>
      </c>
      <c r="D45" s="1931" t="s">
        <v>1598</v>
      </c>
      <c r="E45" s="1858"/>
      <c r="F45" s="1858"/>
      <c r="O45" s="1861" t="s">
        <v>1513</v>
      </c>
      <c r="P45" s="1831"/>
      <c r="Q45" s="1831"/>
      <c r="R45" s="1831"/>
    </row>
    <row r="46" spans="1:18" s="1834" customFormat="1" ht="13.5" thickBot="1">
      <c r="A46" s="1862" t="s">
        <v>1514</v>
      </c>
      <c r="C46" s="1863">
        <f ca="1">ROUND(C45/10000,0)</f>
        <v>-11906</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3099</v>
      </c>
      <c r="K47" s="1874" t="s">
        <v>1521</v>
      </c>
      <c r="L47" s="1875">
        <f ca="1">INDIRECT("'数据-取费表'!d"&amp;$G$1)</f>
        <v>40</v>
      </c>
      <c r="M47" s="1830" t="str">
        <f>IF(ISNUMBER(FIND("住宅",C1)),"住宅","非住宅")</f>
        <v>非住宅</v>
      </c>
      <c r="O47" s="1876" t="s">
        <v>1036</v>
      </c>
      <c r="P47" s="1877" t="s">
        <v>1522</v>
      </c>
      <c r="Q47" s="1878">
        <f ca="1">C40+J29</f>
        <v>106352930</v>
      </c>
      <c r="R47" s="1878" t="s">
        <v>1523</v>
      </c>
    </row>
    <row r="48" spans="1:18" s="1834" customFormat="1" ht="28.5" thickBot="1">
      <c r="A48" s="1360" t="s">
        <v>1131</v>
      </c>
      <c r="B48" s="345" t="s">
        <v>1395</v>
      </c>
      <c r="C48" s="1809">
        <f ca="1">C49+C53+C55</f>
        <v>0</v>
      </c>
      <c r="D48" s="1362"/>
      <c r="E48" s="1363"/>
      <c r="F48" s="1181"/>
      <c r="G48" s="792"/>
      <c r="H48" s="793"/>
      <c r="I48" s="1879" t="s">
        <v>1524</v>
      </c>
      <c r="J48" s="1880" t="s">
        <v>3100</v>
      </c>
      <c r="K48" s="1881" t="s">
        <v>1525</v>
      </c>
      <c r="L48" s="1882">
        <f ca="1">INDIRECT("'数据-取费表'!f"&amp;$G$1)</f>
        <v>24.01</v>
      </c>
      <c r="O48" s="1876" t="s">
        <v>1037</v>
      </c>
      <c r="P48" s="1877" t="s">
        <v>1526</v>
      </c>
      <c r="Q48" s="1878" t="str">
        <f ca="1">J60</f>
        <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7220321</v>
      </c>
      <c r="R49" s="1878" t="s">
        <v>1523</v>
      </c>
    </row>
    <row r="50" spans="1:18" s="1834" customFormat="1" ht="13.5" thickBot="1">
      <c r="A50" s="1195"/>
      <c r="B50" s="1198"/>
      <c r="C50" s="1199"/>
      <c r="D50" s="1172"/>
      <c r="E50" s="1277" t="s">
        <v>1400</v>
      </c>
      <c r="F50" s="1278">
        <f ca="1">F7</f>
        <v>1900</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60</v>
      </c>
      <c r="K51" s="1892" t="s">
        <v>1535</v>
      </c>
      <c r="L51" s="1893">
        <f ca="1">ROUND(-PV(INDIRECT("'数据-取费表'!h"&amp;$G$1),J51,(C39-C13*C76),0),0)</f>
        <v>124907687</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24.01</v>
      </c>
      <c r="R52" s="1878" t="s">
        <v>1540</v>
      </c>
    </row>
    <row r="53" spans="1:18" s="1834" customFormat="1" ht="30.75" customHeight="1" thickBot="1">
      <c r="A53" s="1361" t="s">
        <v>1133</v>
      </c>
      <c r="B53" s="369" t="s">
        <v>1403</v>
      </c>
      <c r="C53" s="361">
        <f ca="1">ROUND(IF(F53="押一",C49/12*F11,IF(F53="押二",C49/12*2*F11,IF(F53="押三",C49/12*3*F11,C54*F11))),0)</f>
        <v>0</v>
      </c>
      <c r="D53" s="1816" t="s">
        <v>3039</v>
      </c>
      <c r="E53" s="358" t="s">
        <v>1404</v>
      </c>
      <c r="F53" s="1366"/>
      <c r="I53" s="1897" t="s">
        <v>1541</v>
      </c>
      <c r="J53" s="2943">
        <f ca="1">IF(M47="住宅",IF(D1="——",MAX(J51,L48),MAX(J51,L48-'数据-取费表'!B24)),IF(D1="——",MIN(J51,L48),MIN(J51,L48-'数据-取费表'!B24)))</f>
        <v>24.01</v>
      </c>
      <c r="K53" s="3167" t="s">
        <v>1542</v>
      </c>
      <c r="L53" s="3168"/>
      <c r="O53" s="1876" t="s">
        <v>1042</v>
      </c>
      <c r="P53" s="1877" t="s">
        <v>1543</v>
      </c>
      <c r="Q53" s="1878">
        <f ca="1">Q47+Q48</f>
        <v>106352930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5415241</v>
      </c>
      <c r="D56" s="1905"/>
      <c r="E56" s="1906"/>
      <c r="F56" s="1898"/>
      <c r="I56" s="1907" t="s">
        <v>1548</v>
      </c>
      <c r="J56" s="1908" t="s">
        <v>3067</v>
      </c>
      <c r="K56" s="1879" t="s">
        <v>1549</v>
      </c>
      <c r="L56" s="1882" t="str">
        <f ca="1">IF(L48&lt;J51,"——",L48-J51)</f>
        <v>——</v>
      </c>
      <c r="O56" s="1876" t="s">
        <v>1036</v>
      </c>
      <c r="P56" s="1877" t="s">
        <v>1522</v>
      </c>
      <c r="Q56" s="1878">
        <f ca="1">C40+J29</f>
        <v>106352930</v>
      </c>
      <c r="R56" s="1878" t="s">
        <v>1523</v>
      </c>
    </row>
    <row r="57" spans="1:18" s="1834" customFormat="1" ht="24.75" thickBot="1">
      <c r="A57" s="1909"/>
      <c r="B57" s="1169" t="s">
        <v>1472</v>
      </c>
      <c r="C57" s="282">
        <f ca="1">C29</f>
        <v>7220321</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722935</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606507</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606507</v>
      </c>
      <c r="D61" s="1820" t="s">
        <v>1432</v>
      </c>
      <c r="E61" s="1169" t="s">
        <v>1488</v>
      </c>
      <c r="F61" s="367">
        <f t="shared" si="0"/>
        <v>0.12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0</v>
      </c>
      <c r="I62" s="1920" t="s">
        <v>1564</v>
      </c>
      <c r="J62" s="1921" t="s">
        <v>1565</v>
      </c>
      <c r="K62" s="1921" t="s">
        <v>1566</v>
      </c>
      <c r="L62" s="1921" t="s">
        <v>1567</v>
      </c>
      <c r="M62" s="1922" t="s">
        <v>1568</v>
      </c>
      <c r="O62" s="1876" t="s">
        <v>1042</v>
      </c>
      <c r="P62" s="1877" t="s">
        <v>1569</v>
      </c>
      <c r="Q62" s="1878">
        <f ca="1">Q56+Q57</f>
        <v>106352930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108305</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8123</v>
      </c>
      <c r="D65" s="1183" t="s">
        <v>1448</v>
      </c>
      <c r="E65" s="1169" t="s">
        <v>1449</v>
      </c>
      <c r="F65" s="376">
        <f t="shared" ca="1" si="0"/>
        <v>1.5E-3</v>
      </c>
      <c r="I65" s="1920" t="s">
        <v>1573</v>
      </c>
      <c r="J65" s="1921">
        <v>40</v>
      </c>
      <c r="K65" s="1921">
        <v>30</v>
      </c>
      <c r="L65" s="1921">
        <v>50</v>
      </c>
      <c r="M65" s="1923">
        <v>0.02</v>
      </c>
      <c r="O65" s="1876" t="s">
        <v>1036</v>
      </c>
      <c r="P65" s="1877" t="s">
        <v>1574</v>
      </c>
      <c r="Q65" s="1878">
        <f ca="1">C40+J29</f>
        <v>106352930</v>
      </c>
      <c r="R65" s="1878" t="s">
        <v>1523</v>
      </c>
    </row>
    <row r="66" spans="1:18" s="1834" customFormat="1" ht="16.5" thickBot="1">
      <c r="A66" s="1201" t="s">
        <v>1498</v>
      </c>
      <c r="B66" s="1169" t="s">
        <v>1433</v>
      </c>
      <c r="C66" s="24">
        <f ca="1">ROUND(C48*F66,0)</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-722935</v>
      </c>
      <c r="D67" s="1182" t="s">
        <v>1458</v>
      </c>
      <c r="E67" s="1187"/>
      <c r="F67" s="1188"/>
      <c r="O67" s="1886" t="s">
        <v>1038</v>
      </c>
      <c r="P67" s="1877" t="s">
        <v>1556</v>
      </c>
      <c r="Q67" s="1924">
        <f ca="1">L51</f>
        <v>124907687</v>
      </c>
      <c r="R67" s="1878" t="s">
        <v>1576</v>
      </c>
    </row>
    <row r="68" spans="1:18" s="1834" customFormat="1" ht="16.5" thickBot="1">
      <c r="A68" s="1166" t="s">
        <v>1028</v>
      </c>
      <c r="B68" s="1167" t="s">
        <v>1479</v>
      </c>
      <c r="C68" s="346">
        <f ca="1">ROUND(C67*(1-((1+F70)/(1+F68))^F69)/(F68-F70),0)</f>
        <v>-12703624</v>
      </c>
      <c r="D68" s="1184" t="s">
        <v>1463</v>
      </c>
      <c r="E68" s="1169" t="s">
        <v>1464</v>
      </c>
      <c r="F68" s="357">
        <f ca="1">F40</f>
        <v>0.05</v>
      </c>
      <c r="O68" s="1886" t="s">
        <v>1039</v>
      </c>
      <c r="P68" s="1925" t="s">
        <v>1577</v>
      </c>
      <c r="Q68" s="1878">
        <f ca="1">ROUND(Q69-Q70*Q71,0)</f>
        <v>6052309</v>
      </c>
      <c r="R68" s="1878" t="s">
        <v>1047</v>
      </c>
    </row>
    <row r="69" spans="1:18" s="1834" customFormat="1" ht="13.5" thickBot="1">
      <c r="A69" s="1170"/>
      <c r="B69" s="1171"/>
      <c r="C69" s="351"/>
      <c r="D69" s="1189" t="s">
        <v>1467</v>
      </c>
      <c r="E69" s="1169" t="s">
        <v>1468</v>
      </c>
      <c r="F69" s="379">
        <f ca="1">F41</f>
        <v>24.01</v>
      </c>
      <c r="O69" s="1886" t="s">
        <v>1044</v>
      </c>
      <c r="P69" s="1925" t="s">
        <v>1578</v>
      </c>
      <c r="Q69" s="1878">
        <f ca="1">C39</f>
        <v>6052309</v>
      </c>
      <c r="R69" s="1878" t="s">
        <v>1523</v>
      </c>
    </row>
    <row r="70" spans="1:18" s="1834" customFormat="1" ht="13.5" thickBot="1">
      <c r="A70" s="1173"/>
      <c r="B70" s="1174"/>
      <c r="C70" s="355"/>
      <c r="D70" s="1185"/>
      <c r="E70" s="1169" t="s">
        <v>1471</v>
      </c>
      <c r="F70" s="1275">
        <f ca="1">F42</f>
        <v>2.5000000000000001E-2</v>
      </c>
      <c r="O70" s="1886" t="s">
        <v>1045</v>
      </c>
      <c r="P70" s="1925" t="s">
        <v>1579</v>
      </c>
      <c r="Q70" s="1878">
        <f ca="1">C13</f>
        <v>5415241</v>
      </c>
      <c r="R70" s="1878" t="s">
        <v>1523</v>
      </c>
    </row>
    <row r="71" spans="1:18" s="1834" customFormat="1" ht="13.5" thickBot="1">
      <c r="A71" s="1190" t="s">
        <v>1029</v>
      </c>
      <c r="B71" s="1191" t="s">
        <v>1481</v>
      </c>
      <c r="C71" s="382">
        <f ca="1">ROUND(C68/F71,0)</f>
        <v>-6686</v>
      </c>
      <c r="D71" s="1192" t="s">
        <v>1482</v>
      </c>
      <c r="E71" s="1193" t="s">
        <v>1483</v>
      </c>
      <c r="F71" s="385">
        <f>F43</f>
        <v>1900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f ca="1">Q65+Q66</f>
        <v>106352930</v>
      </c>
      <c r="R75" s="1878" t="s">
        <v>1043</v>
      </c>
    </row>
    <row r="76" spans="1:18">
      <c r="B76" s="388" t="s">
        <v>1501</v>
      </c>
      <c r="C76" s="389">
        <f ca="1">INDIRECT("'数据-取费表'!j"&amp;$G$1)</f>
        <v>0</v>
      </c>
      <c r="I76" s="1834"/>
      <c r="J76" s="1834"/>
      <c r="K76" s="1860"/>
      <c r="L76" s="1834"/>
    </row>
    <row r="77" spans="1:18">
      <c r="B77" s="390" t="s">
        <v>1502</v>
      </c>
      <c r="C77" s="391"/>
      <c r="E77" s="1926"/>
      <c r="F77" s="2974" t="s">
        <v>3106</v>
      </c>
      <c r="G77" s="2974" t="s">
        <v>3107</v>
      </c>
      <c r="I77" s="1834"/>
      <c r="J77" s="1834"/>
      <c r="K77" s="1860"/>
      <c r="L77" s="1834"/>
    </row>
    <row r="78" spans="1:18">
      <c r="B78" s="314" t="s">
        <v>1503</v>
      </c>
      <c r="C78" s="392"/>
      <c r="E78" s="2974" t="s">
        <v>3102</v>
      </c>
      <c r="F78" s="1926">
        <f ca="1">B3</f>
        <v>55975</v>
      </c>
      <c r="G78" s="1926">
        <v>1</v>
      </c>
      <c r="H78" s="302">
        <f>'数据-基础表'!I13</f>
        <v>1900</v>
      </c>
    </row>
    <row r="79" spans="1:18">
      <c r="B79" s="386" t="s">
        <v>1504</v>
      </c>
      <c r="C79" s="318">
        <f ca="1">1-C80</f>
        <v>1</v>
      </c>
      <c r="E79" s="2974" t="s">
        <v>3103</v>
      </c>
      <c r="F79" s="1926">
        <f ca="1">ROUND($F$78*G79,0)</f>
        <v>39183</v>
      </c>
      <c r="G79" s="1926">
        <v>0.7</v>
      </c>
      <c r="H79" s="302">
        <f>'数据-基础表'!I14</f>
        <v>2900</v>
      </c>
    </row>
    <row r="80" spans="1:18">
      <c r="B80" s="386" t="s">
        <v>1505</v>
      </c>
      <c r="C80" s="318">
        <f ca="1">ROUND(C75/C39,3)</f>
        <v>0</v>
      </c>
      <c r="E80" s="2974" t="s">
        <v>3104</v>
      </c>
      <c r="F80" s="1926">
        <f t="shared" ref="F80:F81" ca="1" si="1">ROUND($F$78*G80,0)</f>
        <v>33585</v>
      </c>
      <c r="G80" s="1926">
        <v>0.6</v>
      </c>
      <c r="H80" s="302">
        <f>'数据-基础表'!I15</f>
        <v>1600</v>
      </c>
    </row>
    <row r="81" spans="2:8">
      <c r="B81" s="314" t="s">
        <v>1506</v>
      </c>
      <c r="C81" s="282"/>
      <c r="E81" s="2974" t="s">
        <v>3105</v>
      </c>
      <c r="F81" s="1926">
        <f t="shared" ca="1" si="1"/>
        <v>27988</v>
      </c>
      <c r="G81" s="1926">
        <v>0.5</v>
      </c>
      <c r="H81" s="302">
        <f>'数据-基础表'!K16</f>
        <v>1000</v>
      </c>
    </row>
    <row r="82" spans="2:8">
      <c r="B82" s="317" t="s">
        <v>1507</v>
      </c>
      <c r="C82" s="319">
        <f ca="1">1-C83</f>
        <v>0.94899999999999995</v>
      </c>
      <c r="E82" s="2973" t="s">
        <v>3109</v>
      </c>
      <c r="F82" s="2975">
        <f ca="1">ROUND((F78*H78+F79*H79+F80*H80+F81*H81)/'数据-基础表'!G5,0)</f>
        <v>40771</v>
      </c>
    </row>
    <row r="83" spans="2:8">
      <c r="B83" s="317" t="s">
        <v>1508</v>
      </c>
      <c r="C83" s="318">
        <f ca="1">ROUND(C13/C40,3)</f>
        <v>5.0999999999999997E-2</v>
      </c>
      <c r="E83" s="2973" t="s">
        <v>3108</v>
      </c>
      <c r="F83" s="302">
        <f ca="1">ROUND(F82*'数据-基础表'!G5/10000,0)</f>
        <v>30171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2526</v>
      </c>
      <c r="B1" s="2555"/>
      <c r="C1" s="2555"/>
      <c r="D1" s="2555"/>
      <c r="E1" s="2556"/>
    </row>
    <row r="2" spans="1:6" ht="15.75">
      <c r="A2" s="2557" t="s">
        <v>2327</v>
      </c>
      <c r="B2" s="2558">
        <f ca="1">SUMIF(B6:B13,"&lt;&gt;#ref!",B6:B13)</f>
        <v>10635</v>
      </c>
      <c r="C2" s="2559" t="s">
        <v>2519</v>
      </c>
      <c r="D2" s="2560" t="s">
        <v>2520</v>
      </c>
      <c r="E2" s="2561">
        <f>SUM(E6:E13)</f>
        <v>7400</v>
      </c>
    </row>
    <row r="3" spans="1:6" ht="15.75">
      <c r="A3" s="2557" t="s">
        <v>1389</v>
      </c>
      <c r="B3" s="2558">
        <f ca="1">ROUND(B2*10000/E2,0)</f>
        <v>14372</v>
      </c>
      <c r="C3" s="2559" t="s">
        <v>2527</v>
      </c>
      <c r="D3" s="2562"/>
      <c r="E3" s="2563"/>
    </row>
    <row r="4" spans="1:6" ht="15.75">
      <c r="A4" s="2564"/>
      <c r="B4" s="2562"/>
      <c r="C4" s="2562"/>
      <c r="D4" s="2562"/>
      <c r="E4" s="2563"/>
    </row>
    <row r="5" spans="1:6" ht="15">
      <c r="A5" s="2565" t="s">
        <v>2521</v>
      </c>
      <c r="B5" s="3172" t="s">
        <v>2522</v>
      </c>
      <c r="C5" s="3172"/>
      <c r="D5" s="2566"/>
      <c r="E5" s="2567" t="s">
        <v>2523</v>
      </c>
      <c r="F5" s="2568" t="s">
        <v>2524</v>
      </c>
    </row>
    <row r="6" spans="1:6">
      <c r="A6" s="2569" t="str">
        <f>'数据-取费表'!AN6</f>
        <v>收益法 (元)</v>
      </c>
      <c r="B6" s="2568">
        <f ca="1">IF(F6="是",'数据-取费表'!AO6,0)</f>
        <v>10635</v>
      </c>
      <c r="C6" s="2559" t="s">
        <v>2519</v>
      </c>
      <c r="D6" s="2562"/>
      <c r="E6" s="2570">
        <f>IF(OR(A6=0,F6="否"),0,'数据-取费表'!K6+'数据-取费表'!S6)</f>
        <v>7400</v>
      </c>
      <c r="F6" s="2571" t="s">
        <v>2525</v>
      </c>
    </row>
    <row r="7" spans="1:6">
      <c r="A7" s="2569">
        <f>'数据-取费表'!AN7</f>
        <v>0</v>
      </c>
      <c r="B7" s="2568" t="e">
        <f ca="1">IF(F7="是",'数据-取费表'!AO7,0)</f>
        <v>#REF!</v>
      </c>
      <c r="C7" s="2559" t="s">
        <v>2519</v>
      </c>
      <c r="D7" s="2562"/>
      <c r="E7" s="2570">
        <f>IF(OR(A7=0,F7="否"),0,'数据-取费表'!K7+'数据-取费表'!S7)</f>
        <v>0</v>
      </c>
      <c r="F7" s="2571" t="s">
        <v>2525</v>
      </c>
    </row>
    <row r="8" spans="1:6">
      <c r="A8" s="2569">
        <f>'数据-取费表'!AN8</f>
        <v>0</v>
      </c>
      <c r="B8" s="2568" t="e">
        <f ca="1">IF(F8="是",'数据-取费表'!AO8,0)</f>
        <v>#REF!</v>
      </c>
      <c r="C8" s="2559" t="s">
        <v>2519</v>
      </c>
      <c r="D8" s="2562"/>
      <c r="E8" s="2570">
        <f>IF(OR(A8=0,F8="否"),0,'数据-取费表'!K8+'数据-取费表'!S8)</f>
        <v>0</v>
      </c>
      <c r="F8" s="2571" t="s">
        <v>2525</v>
      </c>
    </row>
    <row r="9" spans="1:6">
      <c r="A9" s="2569">
        <f>'数据-取费表'!AN9</f>
        <v>0</v>
      </c>
      <c r="B9" s="2568" t="e">
        <f ca="1">IF(F9="是",'数据-取费表'!AO9,0)</f>
        <v>#REF!</v>
      </c>
      <c r="C9" s="2559" t="s">
        <v>2519</v>
      </c>
      <c r="D9" s="2562"/>
      <c r="E9" s="2570">
        <f>IF(OR(A9=0,F9="否"),0,'数据-取费表'!K9+'数据-取费表'!S9)</f>
        <v>0</v>
      </c>
      <c r="F9" s="2571" t="s">
        <v>2525</v>
      </c>
    </row>
    <row r="10" spans="1:6">
      <c r="A10" s="2569">
        <f>'数据-取费表'!AN10</f>
        <v>0</v>
      </c>
      <c r="B10" s="2568" t="e">
        <f ca="1">IF(F10="是",'数据-取费表'!AO10,0)</f>
        <v>#REF!</v>
      </c>
      <c r="C10" s="2559" t="s">
        <v>2519</v>
      </c>
      <c r="D10" s="2562"/>
      <c r="E10" s="2570">
        <f>IF(OR(A10=0,F10="否"),0,'数据-取费表'!K10+'数据-取费表'!S10)</f>
        <v>0</v>
      </c>
      <c r="F10" s="2571" t="s">
        <v>2525</v>
      </c>
    </row>
    <row r="11" spans="1:6">
      <c r="A11" s="2569">
        <f>'数据-取费表'!AN11</f>
        <v>0</v>
      </c>
      <c r="B11" s="2568" t="e">
        <f ca="1">IF(F11="是",'数据-取费表'!AO11,0)</f>
        <v>#REF!</v>
      </c>
      <c r="C11" s="2559" t="s">
        <v>2519</v>
      </c>
      <c r="D11" s="2562"/>
      <c r="E11" s="2570">
        <f>IF(OR(A11=0,F11="否"),0,'数据-取费表'!K11+'数据-取费表'!S11)</f>
        <v>0</v>
      </c>
      <c r="F11" s="2571" t="s">
        <v>2525</v>
      </c>
    </row>
    <row r="12" spans="1:6">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89" t="s">
        <v>1072</v>
      </c>
      <c r="B1" s="3190"/>
      <c r="C1" s="3191"/>
      <c r="D1" s="3192">
        <f>SUM(I10,I15,I20,I21,I23)</f>
        <v>0</v>
      </c>
      <c r="E1" s="3192"/>
      <c r="F1" s="3192"/>
      <c r="G1" s="3192"/>
      <c r="H1" s="3192"/>
      <c r="I1" s="3193"/>
    </row>
    <row r="2" spans="1:9">
      <c r="A2" s="3179" t="s">
        <v>1073</v>
      </c>
      <c r="B2" s="3180" t="s">
        <v>1074</v>
      </c>
      <c r="C2" s="3180"/>
      <c r="D2" s="1301" t="s">
        <v>1075</v>
      </c>
      <c r="E2" s="1301" t="s">
        <v>1076</v>
      </c>
      <c r="F2" s="1301" t="s">
        <v>1077</v>
      </c>
      <c r="G2" s="1301" t="s">
        <v>1078</v>
      </c>
      <c r="H2" s="1301" t="s">
        <v>1079</v>
      </c>
      <c r="I2" s="1302" t="s">
        <v>1080</v>
      </c>
    </row>
    <row r="3" spans="1:9">
      <c r="A3" s="3179"/>
      <c r="B3" s="3180" t="s">
        <v>1081</v>
      </c>
      <c r="C3" s="3180"/>
      <c r="D3" s="1303"/>
      <c r="E3" s="1301"/>
      <c r="F3" s="1304"/>
      <c r="G3" s="1304"/>
      <c r="H3" s="1305"/>
      <c r="I3" s="1306">
        <f>ROUND(D3*E3*F3*G3*H3/10000,0)</f>
        <v>0</v>
      </c>
    </row>
    <row r="4" spans="1:9">
      <c r="A4" s="3179"/>
      <c r="B4" s="3180" t="s">
        <v>1082</v>
      </c>
      <c r="C4" s="3180"/>
      <c r="D4" s="1303"/>
      <c r="E4" s="1301"/>
      <c r="F4" s="1304"/>
      <c r="G4" s="1304"/>
      <c r="H4" s="1305"/>
      <c r="I4" s="1306">
        <f t="shared" ref="I4:I9" si="0">ROUND(D4*E4*F4*G4*H4/10000,0)</f>
        <v>0</v>
      </c>
    </row>
    <row r="5" spans="1:9">
      <c r="A5" s="3179"/>
      <c r="B5" s="3180" t="s">
        <v>1083</v>
      </c>
      <c r="C5" s="3180"/>
      <c r="D5" s="1303"/>
      <c r="E5" s="1301"/>
      <c r="F5" s="1304"/>
      <c r="G5" s="1304"/>
      <c r="H5" s="1305"/>
      <c r="I5" s="1306">
        <f t="shared" si="0"/>
        <v>0</v>
      </c>
    </row>
    <row r="6" spans="1:9">
      <c r="A6" s="3179"/>
      <c r="B6" s="3180" t="s">
        <v>1084</v>
      </c>
      <c r="C6" s="3180"/>
      <c r="D6" s="1303"/>
      <c r="E6" s="1301"/>
      <c r="F6" s="1304"/>
      <c r="G6" s="1304"/>
      <c r="H6" s="1305"/>
      <c r="I6" s="1306">
        <f t="shared" si="0"/>
        <v>0</v>
      </c>
    </row>
    <row r="7" spans="1:9">
      <c r="A7" s="3179"/>
      <c r="B7" s="3180" t="s">
        <v>1085</v>
      </c>
      <c r="C7" s="3180"/>
      <c r="D7" s="1303"/>
      <c r="E7" s="1301"/>
      <c r="F7" s="1304"/>
      <c r="G7" s="1304"/>
      <c r="H7" s="1305"/>
      <c r="I7" s="1306">
        <f t="shared" si="0"/>
        <v>0</v>
      </c>
    </row>
    <row r="8" spans="1:9">
      <c r="A8" s="3179"/>
      <c r="B8" s="3180" t="s">
        <v>1086</v>
      </c>
      <c r="C8" s="3180"/>
      <c r="D8" s="1303"/>
      <c r="E8" s="1301"/>
      <c r="F8" s="1304"/>
      <c r="G8" s="1304"/>
      <c r="H8" s="1305"/>
      <c r="I8" s="1306">
        <f t="shared" si="0"/>
        <v>0</v>
      </c>
    </row>
    <row r="9" spans="1:9">
      <c r="A9" s="3179"/>
      <c r="B9" s="3180" t="s">
        <v>1087</v>
      </c>
      <c r="C9" s="3180"/>
      <c r="D9" s="1303"/>
      <c r="E9" s="1301"/>
      <c r="F9" s="1304"/>
      <c r="G9" s="1304"/>
      <c r="H9" s="1305"/>
      <c r="I9" s="1306">
        <f t="shared" si="0"/>
        <v>0</v>
      </c>
    </row>
    <row r="10" spans="1:9">
      <c r="A10" s="3179"/>
      <c r="B10" s="3181" t="s">
        <v>1088</v>
      </c>
      <c r="C10" s="3181"/>
      <c r="D10" s="1307"/>
      <c r="E10" s="1307" t="e">
        <f>ROUND(D1*10000/D10/H9,0)</f>
        <v>#DIV/0!</v>
      </c>
      <c r="F10" s="1308"/>
      <c r="G10" s="1308"/>
      <c r="H10" s="1309"/>
      <c r="I10" s="1310">
        <f>SUM(I3:I9)</f>
        <v>0</v>
      </c>
    </row>
    <row r="11" spans="1:9" ht="14.25">
      <c r="A11" s="3179" t="s">
        <v>1089</v>
      </c>
      <c r="B11" s="3180" t="s">
        <v>1090</v>
      </c>
      <c r="C11" s="3180"/>
      <c r="D11" s="1303" t="s">
        <v>1091</v>
      </c>
      <c r="E11" s="1303" t="s">
        <v>1092</v>
      </c>
      <c r="F11" s="1304" t="s">
        <v>1093</v>
      </c>
      <c r="G11" s="1304" t="s">
        <v>1079</v>
      </c>
      <c r="H11" s="1311" t="s">
        <v>1094</v>
      </c>
      <c r="I11" s="1302" t="s">
        <v>1080</v>
      </c>
    </row>
    <row r="12" spans="1:9">
      <c r="A12" s="3179"/>
      <c r="B12" s="3180" t="s">
        <v>1095</v>
      </c>
      <c r="C12" s="3180"/>
      <c r="D12" s="1303"/>
      <c r="E12" s="1303"/>
      <c r="F12" s="1304"/>
      <c r="G12" s="1305"/>
      <c r="H12" s="1312"/>
      <c r="I12" s="1302">
        <f>ROUND(D12*E12*F12*G12/10000,0)</f>
        <v>0</v>
      </c>
    </row>
    <row r="13" spans="1:9">
      <c r="A13" s="3179"/>
      <c r="B13" s="3180" t="s">
        <v>1096</v>
      </c>
      <c r="C13" s="3180"/>
      <c r="D13" s="1303"/>
      <c r="E13" s="1303"/>
      <c r="F13" s="1304"/>
      <c r="G13" s="1305"/>
      <c r="H13" s="1312"/>
      <c r="I13" s="1302">
        <f>ROUND(D13*E13*F13*G13/10000,0)</f>
        <v>0</v>
      </c>
    </row>
    <row r="14" spans="1:9">
      <c r="A14" s="3179"/>
      <c r="B14" s="3180" t="s">
        <v>1097</v>
      </c>
      <c r="C14" s="3180"/>
      <c r="D14" s="1303"/>
      <c r="E14" s="1303"/>
      <c r="F14" s="1304"/>
      <c r="G14" s="1305"/>
      <c r="H14" s="1312"/>
      <c r="I14" s="1302">
        <f>ROUND(D14*E14*F14*G14/10000,0)</f>
        <v>0</v>
      </c>
    </row>
    <row r="15" spans="1:9">
      <c r="A15" s="3179"/>
      <c r="B15" s="3181" t="s">
        <v>1088</v>
      </c>
      <c r="C15" s="3181"/>
      <c r="D15" s="1307"/>
      <c r="E15" s="1307">
        <f>SUM(E12:E14)</f>
        <v>0</v>
      </c>
      <c r="F15" s="1308"/>
      <c r="G15" s="1305"/>
      <c r="H15" s="1312"/>
      <c r="I15" s="1313">
        <f>SUM(I12:I14)</f>
        <v>0</v>
      </c>
    </row>
    <row r="16" spans="1:9" ht="24">
      <c r="A16" s="3179" t="s">
        <v>1098</v>
      </c>
      <c r="B16" s="3180" t="s">
        <v>1099</v>
      </c>
      <c r="C16" s="3180"/>
      <c r="D16" s="1303" t="s">
        <v>1075</v>
      </c>
      <c r="E16" s="1314" t="s">
        <v>1100</v>
      </c>
      <c r="F16" s="1304" t="s">
        <v>1101</v>
      </c>
      <c r="G16" s="1305" t="s">
        <v>1079</v>
      </c>
      <c r="H16" s="1311" t="s">
        <v>1094</v>
      </c>
      <c r="I16" s="1302" t="s">
        <v>1080</v>
      </c>
    </row>
    <row r="17" spans="1:9" ht="14.25">
      <c r="A17" s="3179"/>
      <c r="B17" s="3180" t="s">
        <v>1102</v>
      </c>
      <c r="C17" s="3180"/>
      <c r="D17" s="1303"/>
      <c r="E17" s="1303"/>
      <c r="F17" s="1304"/>
      <c r="G17" s="1305"/>
      <c r="H17" s="1315"/>
      <c r="I17" s="1316">
        <f>ROUND(D17*E17*F17*G17/10000,0)</f>
        <v>0</v>
      </c>
    </row>
    <row r="18" spans="1:9" ht="14.25">
      <c r="A18" s="3179"/>
      <c r="B18" s="3180" t="s">
        <v>1103</v>
      </c>
      <c r="C18" s="3180"/>
      <c r="D18" s="1303"/>
      <c r="E18" s="1303"/>
      <c r="F18" s="1304"/>
      <c r="G18" s="1305"/>
      <c r="H18" s="1315"/>
      <c r="I18" s="1316">
        <f>ROUND(D18*E18*F18*G18/10000,0)</f>
        <v>0</v>
      </c>
    </row>
    <row r="19" spans="1:9" ht="14.25">
      <c r="A19" s="3179"/>
      <c r="B19" s="3180" t="s">
        <v>1104</v>
      </c>
      <c r="C19" s="3180"/>
      <c r="D19" s="1303"/>
      <c r="E19" s="1303"/>
      <c r="F19" s="1304"/>
      <c r="G19" s="1305"/>
      <c r="H19" s="1315"/>
      <c r="I19" s="1316">
        <f>ROUND(D19*E19*F19*G19/10000,0)</f>
        <v>0</v>
      </c>
    </row>
    <row r="20" spans="1:9">
      <c r="A20" s="3179"/>
      <c r="B20" s="3181" t="s">
        <v>1088</v>
      </c>
      <c r="C20" s="3181"/>
      <c r="D20" s="1307">
        <f>SUM(D17:D19)</f>
        <v>0</v>
      </c>
      <c r="E20" s="1307"/>
      <c r="F20" s="1308"/>
      <c r="G20" s="1305"/>
      <c r="H20" s="1312"/>
      <c r="I20" s="1313">
        <f>SUM(I17:I19)</f>
        <v>0</v>
      </c>
    </row>
    <row r="21" spans="1:9">
      <c r="A21" s="3179" t="s">
        <v>1105</v>
      </c>
      <c r="B21" s="3182"/>
      <c r="C21" s="3182"/>
      <c r="D21" s="3182"/>
      <c r="E21" s="3182"/>
      <c r="F21" s="3182"/>
      <c r="G21" s="3182"/>
      <c r="H21" s="1757">
        <v>0.1</v>
      </c>
      <c r="I21" s="1310">
        <f>ROUND(I10*H21,0)</f>
        <v>0</v>
      </c>
    </row>
    <row r="22" spans="1:9" ht="14.25">
      <c r="A22" s="3183" t="s">
        <v>1106</v>
      </c>
      <c r="B22" s="3184"/>
      <c r="C22" s="3185"/>
      <c r="D22" s="1317" t="s">
        <v>1107</v>
      </c>
      <c r="E22" s="1317" t="s">
        <v>1108</v>
      </c>
      <c r="F22" s="1318" t="s">
        <v>1109</v>
      </c>
      <c r="G22" s="1318" t="s">
        <v>1110</v>
      </c>
      <c r="H22" s="1311" t="s">
        <v>1111</v>
      </c>
      <c r="I22" s="1302" t="s">
        <v>1112</v>
      </c>
    </row>
    <row r="23" spans="1:9" ht="14.25" thickBot="1">
      <c r="A23" s="3186"/>
      <c r="B23" s="3187"/>
      <c r="C23" s="3188"/>
      <c r="D23" s="1319"/>
      <c r="E23" s="1319"/>
      <c r="F23" s="1319"/>
      <c r="G23" s="1320"/>
      <c r="H23" s="1321"/>
      <c r="I23" s="1322">
        <f>ROUND(E23*D23*F23*(1-G23)/10000,0)</f>
        <v>0</v>
      </c>
    </row>
    <row r="26" spans="1:9">
      <c r="A26" s="1323" t="s">
        <v>1113</v>
      </c>
      <c r="B26" s="1323"/>
      <c r="C26" s="1323"/>
      <c r="D26" s="1323"/>
      <c r="E26" s="3176">
        <f>C27-C30-C31-C32</f>
        <v>0</v>
      </c>
      <c r="F26" s="3176"/>
      <c r="G26" s="3176"/>
      <c r="H26" s="1737" t="s">
        <v>1335</v>
      </c>
    </row>
    <row r="27" spans="1:9">
      <c r="A27" s="1324">
        <v>1</v>
      </c>
      <c r="B27" s="1325" t="s">
        <v>1114</v>
      </c>
      <c r="C27" s="1325">
        <f>C28+C29</f>
        <v>0</v>
      </c>
      <c r="D27" s="1325"/>
      <c r="E27" s="3177"/>
      <c r="F27" s="3177"/>
      <c r="G27" s="3177"/>
    </row>
    <row r="28" spans="1:9">
      <c r="A28" s="1326" t="s">
        <v>1115</v>
      </c>
      <c r="B28" s="1325" t="s">
        <v>1116</v>
      </c>
      <c r="C28" s="1325"/>
      <c r="D28" s="1325"/>
      <c r="E28" s="3177"/>
      <c r="F28" s="3177"/>
      <c r="G28" s="317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8"/>
      <c r="F32" s="3178"/>
      <c r="G32" s="3178"/>
    </row>
    <row r="33" spans="1:7" hidden="1">
      <c r="A33" s="3173" t="s">
        <v>1125</v>
      </c>
      <c r="B33" s="3174"/>
      <c r="C33" s="3174"/>
      <c r="D33" s="3175"/>
      <c r="E33" s="3176"/>
      <c r="F33" s="3176"/>
      <c r="G33" s="3176"/>
    </row>
    <row r="34" spans="1:7" hidden="1">
      <c r="A34" s="1328">
        <v>1</v>
      </c>
      <c r="B34" s="1325" t="s">
        <v>1126</v>
      </c>
      <c r="C34" s="1325"/>
      <c r="D34" s="1325"/>
      <c r="E34" s="3177"/>
      <c r="F34" s="3177"/>
      <c r="G34" s="3177"/>
    </row>
    <row r="35" spans="1:7" hidden="1">
      <c r="A35" s="1328">
        <v>2</v>
      </c>
      <c r="B35" s="1325" t="s">
        <v>1127</v>
      </c>
      <c r="C35" s="1325"/>
      <c r="D35" s="1325"/>
      <c r="E35" s="3177"/>
      <c r="F35" s="3177"/>
      <c r="G35" s="3177"/>
    </row>
    <row r="36" spans="1:7" hidden="1">
      <c r="A36" s="1328">
        <v>3</v>
      </c>
      <c r="B36" s="1325" t="s">
        <v>1128</v>
      </c>
      <c r="C36" s="1325"/>
      <c r="D36" s="1325"/>
      <c r="E36" s="3177"/>
      <c r="F36" s="3177"/>
      <c r="G36" s="3177"/>
    </row>
    <row r="37" spans="1:7" hidden="1">
      <c r="A37" s="1328">
        <v>4</v>
      </c>
      <c r="B37" s="1325" t="s">
        <v>1129</v>
      </c>
      <c r="C37" s="1325"/>
      <c r="D37" s="1325"/>
      <c r="E37" s="3177"/>
      <c r="F37" s="3177"/>
      <c r="G37" s="3177"/>
    </row>
    <row r="38" spans="1:7" hidden="1">
      <c r="A38" s="3173" t="s">
        <v>1130</v>
      </c>
      <c r="B38" s="3174"/>
      <c r="C38" s="3174"/>
      <c r="D38" s="3175"/>
      <c r="E38" s="3176"/>
      <c r="F38" s="3176"/>
      <c r="G38" s="31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75" t="s">
        <v>2529</v>
      </c>
      <c r="C1" s="1634" t="s">
        <v>2530</v>
      </c>
      <c r="D1" s="1621"/>
      <c r="E1" s="2576"/>
      <c r="F1" s="2577" t="s">
        <v>2531</v>
      </c>
      <c r="G1" s="1631" t="s">
        <v>2532</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7400</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2535</v>
      </c>
      <c r="B4" s="402"/>
      <c r="C4" s="3212" t="s">
        <v>2536</v>
      </c>
      <c r="D4" s="3213"/>
      <c r="E4" s="3214" t="s">
        <v>2537</v>
      </c>
      <c r="F4" s="3215"/>
      <c r="G4" s="3212" t="s">
        <v>2538</v>
      </c>
      <c r="H4" s="3213"/>
      <c r="I4" s="3212" t="s">
        <v>2539</v>
      </c>
      <c r="J4" s="3213"/>
      <c r="K4" s="2589" t="s">
        <v>2540</v>
      </c>
      <c r="L4" s="1130"/>
      <c r="M4" s="1131"/>
      <c r="N4" s="1131"/>
      <c r="O4" s="1131"/>
      <c r="P4" s="3216" t="s">
        <v>2541</v>
      </c>
      <c r="Q4" s="3217"/>
      <c r="R4" s="3222" t="s">
        <v>2537</v>
      </c>
      <c r="S4" s="3223"/>
      <c r="T4" s="3222" t="s">
        <v>2538</v>
      </c>
      <c r="U4" s="3223"/>
      <c r="V4" s="3228" t="s">
        <v>2539</v>
      </c>
      <c r="W4" s="3228"/>
      <c r="X4" s="1805"/>
      <c r="Y4" s="3222" t="s">
        <v>2541</v>
      </c>
      <c r="Z4" s="3223"/>
      <c r="AA4" s="3209" t="s">
        <v>2537</v>
      </c>
      <c r="AB4" s="3209" t="s">
        <v>2538</v>
      </c>
      <c r="AC4" s="3209" t="s">
        <v>2539</v>
      </c>
    </row>
    <row r="5" spans="1:29" ht="15">
      <c r="A5" s="404"/>
      <c r="B5" s="405"/>
      <c r="C5" s="3231" t="s">
        <v>2542</v>
      </c>
      <c r="D5" s="3232"/>
      <c r="E5" s="3238" t="s">
        <v>2543</v>
      </c>
      <c r="F5" s="3239"/>
      <c r="G5" s="3231" t="s">
        <v>2544</v>
      </c>
      <c r="H5" s="3232"/>
      <c r="I5" s="3231" t="s">
        <v>2545</v>
      </c>
      <c r="J5" s="3232"/>
      <c r="K5" s="2590"/>
      <c r="L5" s="1130"/>
      <c r="M5" s="1131"/>
      <c r="N5" s="1131"/>
      <c r="O5" s="1131"/>
      <c r="P5" s="3218"/>
      <c r="Q5" s="3219"/>
      <c r="R5" s="3224"/>
      <c r="S5" s="3225"/>
      <c r="T5" s="3224"/>
      <c r="U5" s="3225"/>
      <c r="V5" s="3228"/>
      <c r="W5" s="3228"/>
      <c r="X5" s="1805"/>
      <c r="Y5" s="3224"/>
      <c r="Z5" s="3225"/>
      <c r="AA5" s="3210"/>
      <c r="AB5" s="3210"/>
      <c r="AC5" s="3210"/>
    </row>
    <row r="6" spans="1:29" ht="15.75" thickBot="1">
      <c r="A6" s="406"/>
      <c r="B6" s="407"/>
      <c r="C6" s="3229" t="s">
        <v>2546</v>
      </c>
      <c r="D6" s="3230"/>
      <c r="E6" s="3236" t="s">
        <v>2546</v>
      </c>
      <c r="F6" s="3237"/>
      <c r="G6" s="3229" t="s">
        <v>2546</v>
      </c>
      <c r="H6" s="3230"/>
      <c r="I6" s="3229" t="s">
        <v>2546</v>
      </c>
      <c r="J6" s="3230"/>
      <c r="K6" s="2590" t="s">
        <v>2547</v>
      </c>
      <c r="L6" s="1130"/>
      <c r="M6" s="1131"/>
      <c r="N6" s="1131"/>
      <c r="O6" s="1131"/>
      <c r="P6" s="3220"/>
      <c r="Q6" s="3221"/>
      <c r="R6" s="3224"/>
      <c r="S6" s="3225"/>
      <c r="T6" s="3226"/>
      <c r="U6" s="3227"/>
      <c r="V6" s="3228"/>
      <c r="W6" s="3228"/>
      <c r="X6" s="1805"/>
      <c r="Y6" s="3226"/>
      <c r="Z6" s="3227"/>
      <c r="AA6" s="3211"/>
      <c r="AB6" s="3211"/>
      <c r="AC6" s="3211"/>
    </row>
    <row r="7" spans="1:29" s="117" customFormat="1" ht="15.75" thickBot="1">
      <c r="A7" s="408" t="s">
        <v>2548</v>
      </c>
      <c r="B7" s="409"/>
      <c r="C7" s="410">
        <f>'数据-取费表'!B2</f>
        <v>44019</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33" t="s">
        <v>2549</v>
      </c>
      <c r="Q7" s="3235"/>
      <c r="R7" s="770" t="s">
        <v>23</v>
      </c>
      <c r="S7" s="771">
        <f t="shared" ref="S7:S15" si="0">F7</f>
        <v>0</v>
      </c>
      <c r="T7" s="770" t="s">
        <v>23</v>
      </c>
      <c r="U7" s="771">
        <f t="shared" ref="U7:U15" si="1">H7</f>
        <v>0</v>
      </c>
      <c r="V7" s="770" t="s">
        <v>23</v>
      </c>
      <c r="W7" s="771">
        <f t="shared" ref="W7:W15" si="2">J7</f>
        <v>0</v>
      </c>
      <c r="X7" s="772"/>
      <c r="Y7" s="3233" t="s">
        <v>2549</v>
      </c>
      <c r="Z7" s="3234"/>
      <c r="AA7" s="773" t="e">
        <f>D7/F7</f>
        <v>#DIV/0!</v>
      </c>
      <c r="AB7" s="773" t="e">
        <f>D7/H7</f>
        <v>#DIV/0!</v>
      </c>
      <c r="AC7" s="773" t="e">
        <f>D7/J7</f>
        <v>#DIV/0!</v>
      </c>
    </row>
    <row r="8" spans="1:29" s="117" customFormat="1" ht="15.7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33" t="s">
        <v>2552</v>
      </c>
      <c r="Q8" s="3234"/>
      <c r="R8" s="770" t="s">
        <v>23</v>
      </c>
      <c r="S8" s="771">
        <f t="shared" si="0"/>
        <v>0</v>
      </c>
      <c r="T8" s="770" t="s">
        <v>23</v>
      </c>
      <c r="U8" s="771">
        <f t="shared" si="1"/>
        <v>0</v>
      </c>
      <c r="V8" s="770" t="s">
        <v>23</v>
      </c>
      <c r="W8" s="771">
        <f t="shared" si="2"/>
        <v>0</v>
      </c>
      <c r="X8" s="772"/>
      <c r="Y8" s="3233" t="s">
        <v>2552</v>
      </c>
      <c r="Z8" s="3234"/>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8" t="s">
        <v>2555</v>
      </c>
      <c r="Q9" s="1787"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8"/>
      <c r="Q10" s="178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8"/>
      <c r="Q11" s="1787"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8"/>
      <c r="Q12" s="1787">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8"/>
      <c r="Q13" s="1787">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8"/>
      <c r="Q14" s="1787">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6" t="s">
        <v>2560</v>
      </c>
      <c r="Q15" s="1802" t="str">
        <f t="shared" si="6"/>
        <v>居住社区成熟度</v>
      </c>
      <c r="R15" s="774" t="s">
        <v>21</v>
      </c>
      <c r="S15" s="775">
        <f t="shared" si="0"/>
        <v>100</v>
      </c>
      <c r="T15" s="774" t="s">
        <v>21</v>
      </c>
      <c r="U15" s="775">
        <f t="shared" si="1"/>
        <v>100</v>
      </c>
      <c r="V15" s="774" t="s">
        <v>21</v>
      </c>
      <c r="W15" s="775">
        <f t="shared" si="2"/>
        <v>100</v>
      </c>
      <c r="X15" s="1805"/>
      <c r="Y15" s="3199" t="s">
        <v>2560</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207"/>
      <c r="Q16" s="1802"/>
      <c r="R16" s="774"/>
      <c r="S16" s="775"/>
      <c r="T16" s="774"/>
      <c r="U16" s="775"/>
      <c r="V16" s="774"/>
      <c r="W16" s="775"/>
      <c r="X16" s="1805"/>
      <c r="Y16" s="3200"/>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7"/>
      <c r="Q17" s="1802" t="str">
        <f>B17</f>
        <v>交通便捷度</v>
      </c>
      <c r="R17" s="774" t="s">
        <v>21</v>
      </c>
      <c r="S17" s="775">
        <f>F17</f>
        <v>100</v>
      </c>
      <c r="T17" s="774" t="s">
        <v>21</v>
      </c>
      <c r="U17" s="775">
        <f>H17</f>
        <v>100</v>
      </c>
      <c r="V17" s="774" t="s">
        <v>21</v>
      </c>
      <c r="W17" s="775">
        <f>J17</f>
        <v>100</v>
      </c>
      <c r="X17" s="1805"/>
      <c r="Y17" s="3200"/>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207"/>
      <c r="Q18" s="1802"/>
      <c r="R18" s="774"/>
      <c r="S18" s="775"/>
      <c r="T18" s="774"/>
      <c r="U18" s="775"/>
      <c r="V18" s="774"/>
      <c r="W18" s="775"/>
      <c r="X18" s="1805"/>
      <c r="Y18" s="3200"/>
      <c r="Z18" s="1806"/>
      <c r="AA18" s="1803">
        <v>1</v>
      </c>
      <c r="AB18" s="1803">
        <v>1</v>
      </c>
      <c r="AC18" s="1803">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7"/>
      <c r="Q19" s="1802" t="str">
        <f>B19</f>
        <v>公共配套设施</v>
      </c>
      <c r="R19" s="774" t="s">
        <v>21</v>
      </c>
      <c r="S19" s="775">
        <f>F19</f>
        <v>100</v>
      </c>
      <c r="T19" s="774" t="s">
        <v>21</v>
      </c>
      <c r="U19" s="775">
        <f>H19</f>
        <v>100</v>
      </c>
      <c r="V19" s="774" t="s">
        <v>21</v>
      </c>
      <c r="W19" s="775">
        <f>J19</f>
        <v>100</v>
      </c>
      <c r="X19" s="1805"/>
      <c r="Y19" s="3200"/>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207"/>
      <c r="Q20" s="1802"/>
      <c r="R20" s="774"/>
      <c r="S20" s="775"/>
      <c r="T20" s="774"/>
      <c r="U20" s="775"/>
      <c r="V20" s="774"/>
      <c r="W20" s="775"/>
      <c r="X20" s="1805"/>
      <c r="Y20" s="3200"/>
      <c r="Z20" s="1806"/>
      <c r="AA20" s="1803">
        <v>1</v>
      </c>
      <c r="AB20" s="1803">
        <v>1</v>
      </c>
      <c r="AC20" s="1803">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7"/>
      <c r="Q21" s="1802" t="str">
        <f>B21</f>
        <v>基础设施水平</v>
      </c>
      <c r="R21" s="774" t="s">
        <v>17</v>
      </c>
      <c r="S21" s="775">
        <f>F21</f>
        <v>100</v>
      </c>
      <c r="T21" s="774" t="s">
        <v>17</v>
      </c>
      <c r="U21" s="775">
        <f>H21</f>
        <v>100</v>
      </c>
      <c r="V21" s="774" t="s">
        <v>17</v>
      </c>
      <c r="W21" s="775">
        <f>J21</f>
        <v>100</v>
      </c>
      <c r="X21" s="1805"/>
      <c r="Y21" s="3200"/>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207"/>
      <c r="Q22" s="1802"/>
      <c r="R22" s="774"/>
      <c r="S22" s="775"/>
      <c r="T22" s="774"/>
      <c r="U22" s="775"/>
      <c r="V22" s="774"/>
      <c r="W22" s="775"/>
      <c r="X22" s="1805"/>
      <c r="Y22" s="3200"/>
      <c r="Z22" s="1806"/>
      <c r="AA22" s="1803">
        <v>1</v>
      </c>
      <c r="AB22" s="1803">
        <v>1</v>
      </c>
      <c r="AC22" s="1803">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7"/>
      <c r="Q23" s="1802" t="str">
        <f>B23</f>
        <v>自然及人文环境</v>
      </c>
      <c r="R23" s="774" t="s">
        <v>21</v>
      </c>
      <c r="S23" s="775">
        <f>F23</f>
        <v>100</v>
      </c>
      <c r="T23" s="774" t="s">
        <v>21</v>
      </c>
      <c r="U23" s="775">
        <f>H23</f>
        <v>100</v>
      </c>
      <c r="V23" s="774" t="s">
        <v>21</v>
      </c>
      <c r="W23" s="775">
        <f>J23</f>
        <v>100</v>
      </c>
      <c r="X23" s="1805"/>
      <c r="Y23" s="3200"/>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207"/>
      <c r="Q24" s="1802"/>
      <c r="R24" s="774"/>
      <c r="S24" s="775"/>
      <c r="T24" s="774"/>
      <c r="U24" s="775"/>
      <c r="V24" s="774"/>
      <c r="W24" s="775"/>
      <c r="X24" s="1805"/>
      <c r="Y24" s="3200"/>
      <c r="Z24" s="1806"/>
      <c r="AA24" s="1803">
        <v>1</v>
      </c>
      <c r="AB24" s="1803">
        <v>1</v>
      </c>
      <c r="AC24" s="1803">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07"/>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00"/>
      <c r="Z25" s="1806" t="str">
        <f>Q25</f>
        <v>楼层-1</v>
      </c>
      <c r="AA25" s="1803">
        <f t="shared" ref="AA25:AA46" si="15">D25/F25</f>
        <v>1</v>
      </c>
      <c r="AB25" s="1803">
        <f t="shared" ref="AB25:AB46" si="16">D25/H25</f>
        <v>1</v>
      </c>
      <c r="AC25" s="1803">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07"/>
      <c r="Q26" s="1802" t="str">
        <f t="shared" si="11"/>
        <v>朝向</v>
      </c>
      <c r="R26" s="774" t="s">
        <v>21</v>
      </c>
      <c r="S26" s="775">
        <f t="shared" si="12"/>
        <v>100</v>
      </c>
      <c r="T26" s="774" t="s">
        <v>21</v>
      </c>
      <c r="U26" s="775">
        <f t="shared" si="13"/>
        <v>100</v>
      </c>
      <c r="V26" s="774" t="s">
        <v>21</v>
      </c>
      <c r="W26" s="775">
        <f t="shared" si="14"/>
        <v>100</v>
      </c>
      <c r="X26" s="1805"/>
      <c r="Y26" s="3200"/>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07"/>
      <c r="Q27" s="1787">
        <f t="shared" si="11"/>
        <v>111</v>
      </c>
      <c r="R27" s="770" t="s">
        <v>21</v>
      </c>
      <c r="S27" s="771">
        <f t="shared" si="12"/>
        <v>100</v>
      </c>
      <c r="T27" s="770" t="s">
        <v>21</v>
      </c>
      <c r="U27" s="771">
        <f t="shared" si="13"/>
        <v>100</v>
      </c>
      <c r="V27" s="770" t="s">
        <v>21</v>
      </c>
      <c r="W27" s="771">
        <f t="shared" si="14"/>
        <v>100</v>
      </c>
      <c r="X27" s="772"/>
      <c r="Y27" s="3200"/>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07"/>
      <c r="Q28" s="1802">
        <f t="shared" si="11"/>
        <v>111</v>
      </c>
      <c r="R28" s="774" t="s">
        <v>21</v>
      </c>
      <c r="S28" s="775">
        <f t="shared" si="12"/>
        <v>100</v>
      </c>
      <c r="T28" s="774" t="s">
        <v>21</v>
      </c>
      <c r="U28" s="775">
        <f t="shared" si="13"/>
        <v>100</v>
      </c>
      <c r="V28" s="774" t="s">
        <v>21</v>
      </c>
      <c r="W28" s="775">
        <f t="shared" si="14"/>
        <v>100</v>
      </c>
      <c r="X28" s="1805"/>
      <c r="Y28" s="3200"/>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07"/>
      <c r="Q29" s="1802">
        <f t="shared" si="11"/>
        <v>111</v>
      </c>
      <c r="R29" s="774" t="s">
        <v>21</v>
      </c>
      <c r="S29" s="775">
        <f t="shared" si="12"/>
        <v>100</v>
      </c>
      <c r="T29" s="774" t="s">
        <v>21</v>
      </c>
      <c r="U29" s="775">
        <f t="shared" si="13"/>
        <v>100</v>
      </c>
      <c r="V29" s="774" t="s">
        <v>21</v>
      </c>
      <c r="W29" s="775">
        <f t="shared" si="14"/>
        <v>100</v>
      </c>
      <c r="X29" s="1805"/>
      <c r="Y29" s="3200"/>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07"/>
      <c r="Q30" s="1802">
        <f t="shared" si="11"/>
        <v>111</v>
      </c>
      <c r="R30" s="774" t="s">
        <v>21</v>
      </c>
      <c r="S30" s="775">
        <f t="shared" si="12"/>
        <v>100</v>
      </c>
      <c r="T30" s="774" t="s">
        <v>21</v>
      </c>
      <c r="U30" s="775">
        <f t="shared" si="13"/>
        <v>100</v>
      </c>
      <c r="V30" s="774" t="s">
        <v>21</v>
      </c>
      <c r="W30" s="775">
        <f t="shared" si="14"/>
        <v>100</v>
      </c>
      <c r="X30" s="1805"/>
      <c r="Y30" s="3200"/>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07"/>
      <c r="Q31" s="1802">
        <f t="shared" si="11"/>
        <v>111</v>
      </c>
      <c r="R31" s="774" t="s">
        <v>21</v>
      </c>
      <c r="S31" s="775">
        <f t="shared" si="12"/>
        <v>100</v>
      </c>
      <c r="T31" s="774" t="s">
        <v>21</v>
      </c>
      <c r="U31" s="775">
        <f t="shared" si="13"/>
        <v>100</v>
      </c>
      <c r="V31" s="774" t="s">
        <v>21</v>
      </c>
      <c r="W31" s="775">
        <f t="shared" si="14"/>
        <v>100</v>
      </c>
      <c r="X31" s="1805"/>
      <c r="Y31" s="3200"/>
      <c r="Z31" s="1806">
        <f t="shared" si="18"/>
        <v>111</v>
      </c>
      <c r="AA31" s="1803">
        <f t="shared" si="15"/>
        <v>1</v>
      </c>
      <c r="AB31" s="1803">
        <f t="shared" si="16"/>
        <v>1</v>
      </c>
      <c r="AC31" s="1803">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01" t="s">
        <v>2565</v>
      </c>
      <c r="Q32" s="1802" t="str">
        <f t="shared" si="11"/>
        <v>建筑类型</v>
      </c>
      <c r="R32" s="774" t="s">
        <v>21</v>
      </c>
      <c r="S32" s="775">
        <f t="shared" si="12"/>
        <v>100</v>
      </c>
      <c r="T32" s="774" t="s">
        <v>21</v>
      </c>
      <c r="U32" s="775">
        <f t="shared" si="13"/>
        <v>100</v>
      </c>
      <c r="V32" s="774" t="s">
        <v>21</v>
      </c>
      <c r="W32" s="775">
        <f t="shared" si="14"/>
        <v>100</v>
      </c>
      <c r="X32" s="1805"/>
      <c r="Y32" s="3204" t="s">
        <v>2565</v>
      </c>
      <c r="Z32" s="1806" t="str">
        <f t="shared" si="18"/>
        <v>建筑类型</v>
      </c>
      <c r="AA32" s="1803">
        <f t="shared" si="15"/>
        <v>1</v>
      </c>
      <c r="AB32" s="1803">
        <f t="shared" si="16"/>
        <v>1</v>
      </c>
      <c r="AC32" s="1803">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02"/>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03" t="e">
        <f t="shared" si="15"/>
        <v>#N/A</v>
      </c>
      <c r="AB33" s="1803" t="e">
        <f t="shared" si="16"/>
        <v>#N/A</v>
      </c>
      <c r="AC33" s="1803"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02"/>
      <c r="Q34" s="1802" t="str">
        <f t="shared" si="11"/>
        <v>建筑结构</v>
      </c>
      <c r="R34" s="774" t="s">
        <v>21</v>
      </c>
      <c r="S34" s="775">
        <f t="shared" si="12"/>
        <v>100</v>
      </c>
      <c r="T34" s="774" t="s">
        <v>21</v>
      </c>
      <c r="U34" s="775">
        <f t="shared" si="13"/>
        <v>100</v>
      </c>
      <c r="V34" s="774" t="s">
        <v>21</v>
      </c>
      <c r="W34" s="775">
        <f t="shared" si="14"/>
        <v>100</v>
      </c>
      <c r="X34" s="1805"/>
      <c r="Y34" s="3204"/>
      <c r="Z34" s="1806" t="str">
        <f t="shared" si="18"/>
        <v>建筑结构</v>
      </c>
      <c r="AA34" s="1803">
        <f t="shared" si="15"/>
        <v>1</v>
      </c>
      <c r="AB34" s="1803">
        <f t="shared" si="16"/>
        <v>1</v>
      </c>
      <c r="AC34" s="1803">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02"/>
      <c r="Q35" s="1802" t="str">
        <f t="shared" si="11"/>
        <v>建筑品质</v>
      </c>
      <c r="R35" s="774" t="s">
        <v>21</v>
      </c>
      <c r="S35" s="775">
        <f t="shared" si="12"/>
        <v>100</v>
      </c>
      <c r="T35" s="774" t="s">
        <v>21</v>
      </c>
      <c r="U35" s="775">
        <f t="shared" si="13"/>
        <v>100</v>
      </c>
      <c r="V35" s="774" t="s">
        <v>21</v>
      </c>
      <c r="W35" s="775">
        <f t="shared" si="14"/>
        <v>100</v>
      </c>
      <c r="X35" s="1805"/>
      <c r="Y35" s="3204"/>
      <c r="Z35" s="1806" t="str">
        <f t="shared" si="18"/>
        <v>建筑品质</v>
      </c>
      <c r="AA35" s="1803">
        <f t="shared" si="15"/>
        <v>1</v>
      </c>
      <c r="AB35" s="1803">
        <f t="shared" si="16"/>
        <v>1</v>
      </c>
      <c r="AC35" s="1803">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02"/>
      <c r="Q36" s="1802" t="str">
        <f t="shared" si="11"/>
        <v>公共部分装修</v>
      </c>
      <c r="R36" s="774" t="s">
        <v>21</v>
      </c>
      <c r="S36" s="775">
        <f t="shared" si="12"/>
        <v>100</v>
      </c>
      <c r="T36" s="774" t="s">
        <v>21</v>
      </c>
      <c r="U36" s="775">
        <f t="shared" si="13"/>
        <v>100</v>
      </c>
      <c r="V36" s="774" t="s">
        <v>21</v>
      </c>
      <c r="W36" s="775">
        <f t="shared" si="14"/>
        <v>100</v>
      </c>
      <c r="X36" s="1805"/>
      <c r="Y36" s="3204"/>
      <c r="Z36" s="1806" t="str">
        <f t="shared" si="18"/>
        <v>公共部分装修</v>
      </c>
      <c r="AA36" s="1803">
        <f t="shared" si="15"/>
        <v>1</v>
      </c>
      <c r="AB36" s="1803">
        <f t="shared" si="16"/>
        <v>1</v>
      </c>
      <c r="AC36" s="1803">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2"/>
      <c r="Q37" s="1787"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02" t="s">
        <v>2565</v>
      </c>
      <c r="Q38" s="1802" t="str">
        <f t="shared" si="11"/>
        <v>物业管理</v>
      </c>
      <c r="R38" s="774" t="s">
        <v>21</v>
      </c>
      <c r="S38" s="775">
        <f t="shared" si="12"/>
        <v>100</v>
      </c>
      <c r="T38" s="774" t="s">
        <v>21</v>
      </c>
      <c r="U38" s="775">
        <f t="shared" si="13"/>
        <v>100</v>
      </c>
      <c r="V38" s="774" t="s">
        <v>21</v>
      </c>
      <c r="W38" s="775">
        <f t="shared" si="14"/>
        <v>100</v>
      </c>
      <c r="X38" s="1805"/>
      <c r="Y38" s="3204" t="s">
        <v>2565</v>
      </c>
      <c r="Z38" s="1806" t="str">
        <f t="shared" si="18"/>
        <v>物业管理</v>
      </c>
      <c r="AA38" s="1803">
        <f t="shared" si="15"/>
        <v>1</v>
      </c>
      <c r="AB38" s="1803">
        <f t="shared" si="16"/>
        <v>1</v>
      </c>
      <c r="AC38" s="1803">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02"/>
      <c r="Q39" s="1802" t="str">
        <f t="shared" si="11"/>
        <v>市政基础设施</v>
      </c>
      <c r="R39" s="774" t="s">
        <v>21</v>
      </c>
      <c r="S39" s="775">
        <f t="shared" si="12"/>
        <v>100</v>
      </c>
      <c r="T39" s="774" t="s">
        <v>21</v>
      </c>
      <c r="U39" s="775">
        <f t="shared" si="13"/>
        <v>100</v>
      </c>
      <c r="V39" s="774" t="s">
        <v>21</v>
      </c>
      <c r="W39" s="775">
        <f t="shared" si="14"/>
        <v>100</v>
      </c>
      <c r="X39" s="1805"/>
      <c r="Y39" s="3204"/>
      <c r="Z39" s="1806" t="str">
        <f t="shared" si="18"/>
        <v>市政基础设施</v>
      </c>
      <c r="AA39" s="1803">
        <f t="shared" si="15"/>
        <v>1</v>
      </c>
      <c r="AB39" s="1803">
        <f t="shared" si="16"/>
        <v>1</v>
      </c>
      <c r="AC39" s="1803">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02"/>
      <c r="Q40" s="1802" t="str">
        <f t="shared" si="11"/>
        <v>房型</v>
      </c>
      <c r="R40" s="774" t="s">
        <v>21</v>
      </c>
      <c r="S40" s="775">
        <f t="shared" si="12"/>
        <v>100</v>
      </c>
      <c r="T40" s="774" t="s">
        <v>21</v>
      </c>
      <c r="U40" s="775">
        <f t="shared" si="13"/>
        <v>100</v>
      </c>
      <c r="V40" s="774" t="s">
        <v>21</v>
      </c>
      <c r="W40" s="775">
        <f t="shared" si="14"/>
        <v>100</v>
      </c>
      <c r="X40" s="1805"/>
      <c r="Y40" s="3204"/>
      <c r="Z40" s="1806" t="str">
        <f t="shared" si="18"/>
        <v>房型</v>
      </c>
      <c r="AA40" s="1803">
        <f t="shared" si="15"/>
        <v>1</v>
      </c>
      <c r="AB40" s="1803">
        <f t="shared" si="16"/>
        <v>1</v>
      </c>
      <c r="AC40" s="180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02"/>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03">
        <f t="shared" si="15"/>
        <v>1</v>
      </c>
      <c r="AB41" s="1803">
        <f t="shared" si="16"/>
        <v>1</v>
      </c>
      <c r="AC41" s="1803">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02"/>
      <c r="Q42" s="1802" t="str">
        <f t="shared" si="11"/>
        <v>内部装修</v>
      </c>
      <c r="R42" s="774" t="s">
        <v>21</v>
      </c>
      <c r="S42" s="775">
        <f t="shared" si="12"/>
        <v>100</v>
      </c>
      <c r="T42" s="774" t="s">
        <v>21</v>
      </c>
      <c r="U42" s="775">
        <f t="shared" si="13"/>
        <v>100</v>
      </c>
      <c r="V42" s="774" t="s">
        <v>21</v>
      </c>
      <c r="W42" s="775">
        <f t="shared" si="14"/>
        <v>100</v>
      </c>
      <c r="X42" s="1805"/>
      <c r="Y42" s="3204"/>
      <c r="Z42" s="1806" t="str">
        <f t="shared" si="18"/>
        <v>内部装修</v>
      </c>
      <c r="AA42" s="1803">
        <f t="shared" si="15"/>
        <v>1</v>
      </c>
      <c r="AB42" s="1803">
        <f t="shared" si="16"/>
        <v>1</v>
      </c>
      <c r="AC42" s="1803">
        <f t="shared" si="17"/>
        <v>1</v>
      </c>
    </row>
    <row r="43" spans="1:29" ht="15">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02"/>
      <c r="Q43" s="1802" t="str">
        <f t="shared" si="11"/>
        <v>内部装修维护情况</v>
      </c>
      <c r="R43" s="774" t="s">
        <v>21</v>
      </c>
      <c r="S43" s="775">
        <f t="shared" si="12"/>
        <v>100</v>
      </c>
      <c r="T43" s="774" t="s">
        <v>21</v>
      </c>
      <c r="U43" s="775">
        <f t="shared" si="13"/>
        <v>100</v>
      </c>
      <c r="V43" s="774" t="s">
        <v>21</v>
      </c>
      <c r="W43" s="775">
        <f t="shared" si="14"/>
        <v>100</v>
      </c>
      <c r="X43" s="1805"/>
      <c r="Y43" s="3204"/>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02"/>
      <c r="Q44" s="1787">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02"/>
      <c r="Q45" s="1802">
        <f t="shared" si="11"/>
        <v>111</v>
      </c>
      <c r="R45" s="774" t="s">
        <v>21</v>
      </c>
      <c r="S45" s="775">
        <f t="shared" si="12"/>
        <v>100</v>
      </c>
      <c r="T45" s="774" t="s">
        <v>21</v>
      </c>
      <c r="U45" s="775">
        <f t="shared" si="13"/>
        <v>100</v>
      </c>
      <c r="V45" s="774" t="s">
        <v>21</v>
      </c>
      <c r="W45" s="775">
        <f t="shared" si="14"/>
        <v>100</v>
      </c>
      <c r="X45" s="1805"/>
      <c r="Y45" s="3204"/>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03"/>
      <c r="Q46" s="1802">
        <f t="shared" si="11"/>
        <v>111</v>
      </c>
      <c r="R46" s="774" t="s">
        <v>20</v>
      </c>
      <c r="S46" s="775">
        <f t="shared" si="12"/>
        <v>100</v>
      </c>
      <c r="T46" s="774" t="s">
        <v>20</v>
      </c>
      <c r="U46" s="775">
        <f t="shared" si="13"/>
        <v>100</v>
      </c>
      <c r="V46" s="774" t="s">
        <v>20</v>
      </c>
      <c r="W46" s="775">
        <f t="shared" si="14"/>
        <v>100</v>
      </c>
      <c r="X46" s="1805"/>
      <c r="Y46" s="3205"/>
      <c r="Z46" s="1806">
        <f t="shared" si="18"/>
        <v>111</v>
      </c>
      <c r="AA46" s="1803">
        <f t="shared" si="15"/>
        <v>1</v>
      </c>
      <c r="AB46" s="1803">
        <f t="shared" si="16"/>
        <v>1</v>
      </c>
      <c r="AC46" s="1803">
        <f t="shared" si="17"/>
        <v>1</v>
      </c>
    </row>
    <row r="47" spans="1:29" ht="15">
      <c r="A47" s="479" t="s">
        <v>2577</v>
      </c>
      <c r="B47" s="480"/>
      <c r="C47" s="1407" t="s">
        <v>19</v>
      </c>
      <c r="D47" s="1408"/>
      <c r="E47" s="1409"/>
      <c r="F47" s="1410"/>
      <c r="G47" s="1411"/>
      <c r="H47" s="1412"/>
      <c r="I47" s="1409"/>
      <c r="J47" s="1412"/>
      <c r="K47" s="2614"/>
      <c r="L47" s="1143"/>
      <c r="M47" s="1144"/>
      <c r="N47" s="1131"/>
      <c r="O47" s="1144"/>
      <c r="P47" s="3197" t="str">
        <f>A47</f>
        <v>成交单价（元/平方米）</v>
      </c>
      <c r="Q47" s="3197"/>
      <c r="R47" s="3198">
        <f>E47</f>
        <v>0</v>
      </c>
      <c r="S47" s="3198"/>
      <c r="T47" s="3198">
        <f>G47</f>
        <v>0</v>
      </c>
      <c r="U47" s="3198"/>
      <c r="V47" s="3198">
        <f>I47</f>
        <v>0</v>
      </c>
      <c r="W47" s="3198"/>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15"/>
      <c r="L48" s="1143"/>
      <c r="M48" s="1144"/>
      <c r="N48" s="1144"/>
      <c r="O48" s="1144"/>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16"/>
      <c r="L49" s="1143"/>
      <c r="M49" s="1144"/>
      <c r="N49" s="1144"/>
      <c r="O49" s="1144"/>
      <c r="P49" s="3194" t="str">
        <f>A49</f>
        <v>估价对象XX用房的比较价值（楼面单价，元/平方米）</v>
      </c>
      <c r="Q49" s="3195"/>
      <c r="R49" s="3196" t="e">
        <f>IF(F1="售价",ROUND(AVERAGE(R48:V48),0),ROUND(AVERAGE(R48:V48),1))</f>
        <v>#DIV/0!</v>
      </c>
      <c r="S49" s="3196"/>
      <c r="T49" s="3196"/>
      <c r="U49" s="3196"/>
      <c r="V49" s="3196"/>
      <c r="W49" s="319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19"/>
      <c r="Q57" s="504"/>
    </row>
    <row r="58" spans="1:29" s="508" customFormat="1" ht="15">
      <c r="A58" s="505" t="s">
        <v>2584</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2586</v>
      </c>
      <c r="B61" s="510"/>
      <c r="C61" s="522" t="s">
        <v>2587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2610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2611</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2563</v>
      </c>
      <c r="B100" s="528" t="s">
        <v>2612</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5.75"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c r="B147" s="2630" t="s">
        <v>2640</v>
      </c>
    </row>
    <row r="148" spans="2:11">
      <c r="B148" s="263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75" t="s">
        <v>2642</v>
      </c>
      <c r="C1" s="1634" t="s">
        <v>2530</v>
      </c>
      <c r="D1" s="1621"/>
      <c r="E1" s="2650"/>
      <c r="F1" s="2577"/>
      <c r="G1" s="1631" t="s">
        <v>2643</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2327</v>
      </c>
      <c r="B2" s="1418" t="e">
        <f ca="1">IF(C2="——",ROUND(C49*D3/10000,0),ROUND(C49*D3/10000,0)-D2)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7400</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2645</v>
      </c>
      <c r="B4" s="402"/>
      <c r="C4" s="3212" t="s">
        <v>2646</v>
      </c>
      <c r="D4" s="3213"/>
      <c r="E4" s="3214" t="s">
        <v>2647</v>
      </c>
      <c r="F4" s="3215"/>
      <c r="G4" s="3212" t="s">
        <v>2648</v>
      </c>
      <c r="H4" s="3213"/>
      <c r="I4" s="3212" t="s">
        <v>2649</v>
      </c>
      <c r="J4" s="3213"/>
      <c r="K4" s="610" t="s">
        <v>2650</v>
      </c>
      <c r="L4" s="1130"/>
      <c r="M4" s="1131"/>
      <c r="N4" s="1131"/>
      <c r="O4" s="1131"/>
      <c r="P4" s="3216" t="s">
        <v>2651</v>
      </c>
      <c r="Q4" s="3217"/>
      <c r="R4" s="3222" t="s">
        <v>2647</v>
      </c>
      <c r="S4" s="3223"/>
      <c r="T4" s="3222" t="s">
        <v>2648</v>
      </c>
      <c r="U4" s="3223"/>
      <c r="V4" s="3228" t="s">
        <v>2649</v>
      </c>
      <c r="W4" s="3228"/>
      <c r="X4" s="1805"/>
      <c r="Y4" s="3222" t="s">
        <v>2651</v>
      </c>
      <c r="Z4" s="3223"/>
      <c r="AA4" s="3209" t="s">
        <v>2647</v>
      </c>
      <c r="AB4" s="3228" t="s">
        <v>2648</v>
      </c>
      <c r="AC4" s="3209" t="s">
        <v>2649</v>
      </c>
    </row>
    <row r="5" spans="1:29" ht="15">
      <c r="A5" s="404"/>
      <c r="B5" s="405"/>
      <c r="C5" s="3231" t="s">
        <v>2542</v>
      </c>
      <c r="D5" s="3232"/>
      <c r="E5" s="3238" t="s">
        <v>2543</v>
      </c>
      <c r="F5" s="3239"/>
      <c r="G5" s="3231" t="s">
        <v>2544</v>
      </c>
      <c r="H5" s="3232"/>
      <c r="I5" s="3231" t="s">
        <v>2545</v>
      </c>
      <c r="J5" s="3232"/>
      <c r="K5" s="610"/>
      <c r="L5" s="1130"/>
      <c r="M5" s="1131"/>
      <c r="N5" s="1131"/>
      <c r="O5" s="1131"/>
      <c r="P5" s="3218"/>
      <c r="Q5" s="3219"/>
      <c r="R5" s="3224"/>
      <c r="S5" s="3225"/>
      <c r="T5" s="3224"/>
      <c r="U5" s="3225"/>
      <c r="V5" s="3228"/>
      <c r="W5" s="3228"/>
      <c r="X5" s="1805"/>
      <c r="Y5" s="3224"/>
      <c r="Z5" s="3225"/>
      <c r="AA5" s="3210"/>
      <c r="AB5" s="3228"/>
      <c r="AC5" s="3210"/>
    </row>
    <row r="6" spans="1:29" ht="15.75" thickBot="1">
      <c r="A6" s="406"/>
      <c r="B6" s="407"/>
      <c r="C6" s="3229" t="s">
        <v>2546</v>
      </c>
      <c r="D6" s="3230"/>
      <c r="E6" s="3236" t="s">
        <v>2546</v>
      </c>
      <c r="F6" s="3237"/>
      <c r="G6" s="3229" t="s">
        <v>2546</v>
      </c>
      <c r="H6" s="3230"/>
      <c r="I6" s="3229" t="s">
        <v>2546</v>
      </c>
      <c r="J6" s="3230"/>
      <c r="K6" s="610" t="s">
        <v>2547</v>
      </c>
      <c r="L6" s="1130"/>
      <c r="M6" s="1131"/>
      <c r="N6" s="1131"/>
      <c r="O6" s="1131"/>
      <c r="P6" s="3220"/>
      <c r="Q6" s="3221"/>
      <c r="R6" s="3224"/>
      <c r="S6" s="3225"/>
      <c r="T6" s="3226"/>
      <c r="U6" s="3227"/>
      <c r="V6" s="3228"/>
      <c r="W6" s="3228"/>
      <c r="X6" s="1805"/>
      <c r="Y6" s="3226"/>
      <c r="Z6" s="3227"/>
      <c r="AA6" s="3211"/>
      <c r="AB6" s="3228"/>
      <c r="AC6" s="3211"/>
    </row>
    <row r="7" spans="1:29" s="117" customFormat="1" ht="15.75" thickBot="1">
      <c r="A7" s="408" t="s">
        <v>2548</v>
      </c>
      <c r="B7" s="409"/>
      <c r="C7" s="410">
        <f>'数据-取费表'!B2</f>
        <v>44019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3" t="s">
        <v>2549</v>
      </c>
      <c r="Q7" s="3235"/>
      <c r="R7" s="770" t="s">
        <v>17</v>
      </c>
      <c r="S7" s="771">
        <f t="shared" ref="S7:S15" si="0">F7</f>
        <v>0</v>
      </c>
      <c r="T7" s="770" t="s">
        <v>17</v>
      </c>
      <c r="U7" s="771">
        <f t="shared" ref="U7:U15" si="1">H7</f>
        <v>0</v>
      </c>
      <c r="V7" s="770" t="s">
        <v>17</v>
      </c>
      <c r="W7" s="771">
        <f t="shared" ref="W7:W15" si="2">J7</f>
        <v>0</v>
      </c>
      <c r="X7" s="772"/>
      <c r="Y7" s="3233" t="s">
        <v>2549</v>
      </c>
      <c r="Z7" s="3234"/>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3" t="s">
        <v>2552</v>
      </c>
      <c r="Q8" s="3234"/>
      <c r="R8" s="770" t="s">
        <v>17</v>
      </c>
      <c r="S8" s="771">
        <f t="shared" si="0"/>
        <v>0</v>
      </c>
      <c r="T8" s="770" t="s">
        <v>17</v>
      </c>
      <c r="U8" s="771">
        <f t="shared" si="1"/>
        <v>0</v>
      </c>
      <c r="V8" s="770" t="s">
        <v>17</v>
      </c>
      <c r="W8" s="771">
        <f t="shared" si="2"/>
        <v>0</v>
      </c>
      <c r="X8" s="772"/>
      <c r="Y8" s="3233" t="s">
        <v>2552</v>
      </c>
      <c r="Z8" s="3234"/>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8" t="s">
        <v>2555</v>
      </c>
      <c r="Q9" s="1787"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8"/>
      <c r="Q10" s="178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8"/>
      <c r="Q11" s="178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8"/>
      <c r="Q12" s="178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8"/>
      <c r="Q13" s="178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8"/>
      <c r="Q14" s="178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6" t="s">
        <v>2560</v>
      </c>
      <c r="Q15" s="1802" t="str">
        <f t="shared" si="6"/>
        <v>商业繁华度</v>
      </c>
      <c r="R15" s="774" t="s">
        <v>17</v>
      </c>
      <c r="S15" s="775">
        <f t="shared" si="0"/>
        <v>100</v>
      </c>
      <c r="T15" s="774" t="s">
        <v>17</v>
      </c>
      <c r="U15" s="775">
        <f t="shared" si="1"/>
        <v>100</v>
      </c>
      <c r="V15" s="774" t="s">
        <v>17</v>
      </c>
      <c r="W15" s="775">
        <f t="shared" si="2"/>
        <v>100</v>
      </c>
      <c r="X15" s="1805"/>
      <c r="Y15" s="3199" t="s">
        <v>2560</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07"/>
      <c r="Q16" s="1802"/>
      <c r="R16" s="774"/>
      <c r="S16" s="775"/>
      <c r="T16" s="774"/>
      <c r="U16" s="775"/>
      <c r="V16" s="774"/>
      <c r="W16" s="775"/>
      <c r="X16" s="1805"/>
      <c r="Y16" s="3200"/>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7"/>
      <c r="Q17" s="1802" t="str">
        <f>B17</f>
        <v>交通便捷度</v>
      </c>
      <c r="R17" s="774" t="s">
        <v>17</v>
      </c>
      <c r="S17" s="775">
        <f>F17</f>
        <v>100</v>
      </c>
      <c r="T17" s="774" t="s">
        <v>17</v>
      </c>
      <c r="U17" s="775">
        <f>H17</f>
        <v>100</v>
      </c>
      <c r="V17" s="774" t="s">
        <v>17</v>
      </c>
      <c r="W17" s="775">
        <f>J17</f>
        <v>100</v>
      </c>
      <c r="X17" s="1805"/>
      <c r="Y17" s="3200"/>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1"/>
      <c r="P18" s="3207"/>
      <c r="Q18" s="1802"/>
      <c r="R18" s="774"/>
      <c r="S18" s="775"/>
      <c r="T18" s="774"/>
      <c r="U18" s="775"/>
      <c r="V18" s="774"/>
      <c r="W18" s="775"/>
      <c r="X18" s="1805"/>
      <c r="Y18" s="3200"/>
      <c r="Z18" s="1806"/>
      <c r="AA18" s="1803">
        <v>1</v>
      </c>
      <c r="AB18" s="1803">
        <v>1</v>
      </c>
      <c r="AC18" s="1803">
        <v>1</v>
      </c>
    </row>
    <row r="19" spans="1:29" ht="42.75">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7"/>
      <c r="Q19" s="1802" t="str">
        <f>B19</f>
        <v>公共配套设施</v>
      </c>
      <c r="R19" s="774" t="s">
        <v>17</v>
      </c>
      <c r="S19" s="775">
        <f>F19</f>
        <v>100</v>
      </c>
      <c r="T19" s="774" t="s">
        <v>17</v>
      </c>
      <c r="U19" s="775">
        <f>H19</f>
        <v>100</v>
      </c>
      <c r="V19" s="774" t="s">
        <v>17</v>
      </c>
      <c r="W19" s="775">
        <f>J19</f>
        <v>100</v>
      </c>
      <c r="X19" s="1805"/>
      <c r="Y19" s="3200"/>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1"/>
      <c r="P20" s="3207"/>
      <c r="Q20" s="1802"/>
      <c r="R20" s="774"/>
      <c r="S20" s="775"/>
      <c r="T20" s="774"/>
      <c r="U20" s="775"/>
      <c r="V20" s="774"/>
      <c r="W20" s="775"/>
      <c r="X20" s="1805"/>
      <c r="Y20" s="3200"/>
      <c r="Z20" s="1806"/>
      <c r="AA20" s="1803">
        <v>1</v>
      </c>
      <c r="AB20" s="1803">
        <v>1</v>
      </c>
      <c r="AC20" s="1803">
        <v>1</v>
      </c>
    </row>
    <row r="21" spans="1:29" ht="28.5">
      <c r="A21" s="428"/>
      <c r="B21" s="1384"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7"/>
      <c r="Q21" s="1802" t="str">
        <f>B21</f>
        <v>基础设施水平</v>
      </c>
      <c r="R21" s="774" t="s">
        <v>17</v>
      </c>
      <c r="S21" s="775">
        <f>F21</f>
        <v>100</v>
      </c>
      <c r="T21" s="774" t="s">
        <v>17</v>
      </c>
      <c r="U21" s="775">
        <f>H21</f>
        <v>100</v>
      </c>
      <c r="V21" s="774" t="s">
        <v>17</v>
      </c>
      <c r="W21" s="775">
        <f>J21</f>
        <v>100</v>
      </c>
      <c r="X21" s="1805"/>
      <c r="Y21" s="3200"/>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1"/>
      <c r="P22" s="3207"/>
      <c r="Q22" s="1802"/>
      <c r="R22" s="774"/>
      <c r="S22" s="775"/>
      <c r="T22" s="774"/>
      <c r="U22" s="775"/>
      <c r="V22" s="774"/>
      <c r="W22" s="775"/>
      <c r="X22" s="1805"/>
      <c r="Y22" s="3200"/>
      <c r="Z22" s="1806"/>
      <c r="AA22" s="1803">
        <v>1</v>
      </c>
      <c r="AB22" s="1803">
        <v>1</v>
      </c>
      <c r="AC22" s="1803">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7"/>
      <c r="Q23" s="1802" t="str">
        <f>B23</f>
        <v>自然及人文环境</v>
      </c>
      <c r="R23" s="774" t="s">
        <v>17</v>
      </c>
      <c r="S23" s="775">
        <f>F23</f>
        <v>100</v>
      </c>
      <c r="T23" s="774" t="s">
        <v>17</v>
      </c>
      <c r="U23" s="775">
        <f>H23</f>
        <v>100</v>
      </c>
      <c r="V23" s="774" t="s">
        <v>17</v>
      </c>
      <c r="W23" s="775">
        <f>J23</f>
        <v>100</v>
      </c>
      <c r="X23" s="1805"/>
      <c r="Y23" s="3200"/>
      <c r="Z23" s="1806" t="str">
        <f>Q23</f>
        <v>自然及人文环境</v>
      </c>
      <c r="AA23" s="1803">
        <f t="shared" si="3"/>
        <v>1</v>
      </c>
      <c r="AB23" s="1803">
        <f t="shared" si="4"/>
        <v>1</v>
      </c>
      <c r="AC23" s="1803">
        <f t="shared" si="5"/>
        <v>1</v>
      </c>
    </row>
    <row r="24" spans="1:29" ht="15">
      <c r="A24" s="428"/>
      <c r="B24" s="456"/>
      <c r="C24" s="447"/>
      <c r="D24" s="448"/>
      <c r="E24" s="2598"/>
      <c r="F24" s="449"/>
      <c r="G24" s="2597"/>
      <c r="H24" s="448"/>
      <c r="I24" s="2598"/>
      <c r="J24" s="448"/>
      <c r="K24" s="615"/>
      <c r="L24" s="1140"/>
      <c r="M24" s="1131"/>
      <c r="N24" s="1131"/>
      <c r="O24" s="1131"/>
      <c r="P24" s="3207"/>
      <c r="Q24" s="1802"/>
      <c r="R24" s="774"/>
      <c r="S24" s="775"/>
      <c r="T24" s="774"/>
      <c r="U24" s="775"/>
      <c r="V24" s="774"/>
      <c r="W24" s="775"/>
      <c r="X24" s="1805"/>
      <c r="Y24" s="3200"/>
      <c r="Z24" s="1806"/>
      <c r="AA24" s="1803">
        <v>1</v>
      </c>
      <c r="AB24" s="1803">
        <v>1</v>
      </c>
      <c r="AC24" s="180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7"/>
      <c r="Q25" s="1802" t="str">
        <f t="shared" ref="Q25:Q46" si="11">B25</f>
        <v>临街状况</v>
      </c>
      <c r="R25" s="774" t="s">
        <v>17</v>
      </c>
      <c r="S25" s="775">
        <f>F25</f>
        <v>100</v>
      </c>
      <c r="T25" s="774" t="s">
        <v>17</v>
      </c>
      <c r="U25" s="775">
        <f>H25</f>
        <v>100</v>
      </c>
      <c r="V25" s="774" t="s">
        <v>17</v>
      </c>
      <c r="W25" s="775">
        <f>J25</f>
        <v>100</v>
      </c>
      <c r="X25" s="1805"/>
      <c r="Y25" s="3200"/>
      <c r="Z25" s="1806" t="str">
        <f>Q25</f>
        <v>临街状况</v>
      </c>
      <c r="AA25" s="1803">
        <f t="shared" si="3"/>
        <v>1</v>
      </c>
      <c r="AB25" s="1803">
        <f t="shared" si="4"/>
        <v>1</v>
      </c>
      <c r="AC25" s="1803">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7"/>
      <c r="Q26" s="1802" t="str">
        <f t="shared" si="11"/>
        <v>平面位置/可视性</v>
      </c>
      <c r="R26" s="774" t="s">
        <v>17</v>
      </c>
      <c r="S26" s="775">
        <f>F26</f>
        <v>100</v>
      </c>
      <c r="T26" s="774" t="s">
        <v>17</v>
      </c>
      <c r="U26" s="775">
        <f>H26</f>
        <v>100</v>
      </c>
      <c r="V26" s="774" t="s">
        <v>17</v>
      </c>
      <c r="W26" s="775">
        <f>J26</f>
        <v>100</v>
      </c>
      <c r="X26" s="1805"/>
      <c r="Y26" s="3200"/>
      <c r="Z26" s="1806" t="str">
        <f>Q26</f>
        <v>平面位置/可视性</v>
      </c>
      <c r="AA26" s="1803">
        <f t="shared" si="3"/>
        <v>1</v>
      </c>
      <c r="AB26" s="1803">
        <f t="shared" si="4"/>
        <v>1</v>
      </c>
      <c r="AC26" s="1803">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07"/>
      <c r="Q27" s="1787" t="str">
        <f t="shared" si="11"/>
        <v>人流量</v>
      </c>
      <c r="R27" s="770" t="s">
        <v>17</v>
      </c>
      <c r="S27" s="771">
        <f>F27</f>
        <v>100</v>
      </c>
      <c r="T27" s="770" t="s">
        <v>17</v>
      </c>
      <c r="U27" s="771">
        <f>H27</f>
        <v>100</v>
      </c>
      <c r="V27" s="770" t="s">
        <v>17</v>
      </c>
      <c r="W27" s="771">
        <f>J27</f>
        <v>100</v>
      </c>
      <c r="X27" s="772"/>
      <c r="Y27" s="3200"/>
      <c r="Z27" s="55" t="str">
        <f>Q27</f>
        <v>人流量</v>
      </c>
      <c r="AA27" s="1803">
        <f>D27/F27</f>
        <v>1</v>
      </c>
      <c r="AB27" s="1803">
        <f>D27/H27</f>
        <v>1</v>
      </c>
      <c r="AC27" s="180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7"/>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00"/>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7"/>
      <c r="Q29" s="1802">
        <f t="shared" si="11"/>
        <v>111</v>
      </c>
      <c r="R29" s="774" t="s">
        <v>17</v>
      </c>
      <c r="S29" s="775">
        <f t="shared" si="12"/>
        <v>100</v>
      </c>
      <c r="T29" s="774" t="s">
        <v>17</v>
      </c>
      <c r="U29" s="775">
        <f t="shared" si="13"/>
        <v>100</v>
      </c>
      <c r="V29" s="774" t="s">
        <v>17</v>
      </c>
      <c r="W29" s="775">
        <f t="shared" si="14"/>
        <v>100</v>
      </c>
      <c r="X29" s="1805"/>
      <c r="Y29" s="3200"/>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7"/>
      <c r="Q30" s="1802">
        <f t="shared" si="11"/>
        <v>111</v>
      </c>
      <c r="R30" s="774" t="s">
        <v>17</v>
      </c>
      <c r="S30" s="775">
        <f t="shared" si="12"/>
        <v>100</v>
      </c>
      <c r="T30" s="774" t="s">
        <v>17</v>
      </c>
      <c r="U30" s="775">
        <f t="shared" si="13"/>
        <v>100</v>
      </c>
      <c r="V30" s="774" t="s">
        <v>17</v>
      </c>
      <c r="W30" s="775">
        <f t="shared" si="14"/>
        <v>100</v>
      </c>
      <c r="X30" s="1805"/>
      <c r="Y30" s="3200"/>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7"/>
      <c r="Q31" s="1802">
        <f t="shared" si="11"/>
        <v>111</v>
      </c>
      <c r="R31" s="774" t="s">
        <v>17</v>
      </c>
      <c r="S31" s="775">
        <f t="shared" si="12"/>
        <v>100</v>
      </c>
      <c r="T31" s="774" t="s">
        <v>17</v>
      </c>
      <c r="U31" s="775">
        <f t="shared" si="13"/>
        <v>100</v>
      </c>
      <c r="V31" s="774" t="s">
        <v>17</v>
      </c>
      <c r="W31" s="775">
        <f t="shared" si="14"/>
        <v>100</v>
      </c>
      <c r="X31" s="1805"/>
      <c r="Y31" s="3200"/>
      <c r="Z31" s="1806">
        <f t="shared" si="15"/>
        <v>111</v>
      </c>
      <c r="AA31" s="1803">
        <f t="shared" si="3"/>
        <v>1</v>
      </c>
      <c r="AB31" s="1803">
        <f t="shared" si="4"/>
        <v>1</v>
      </c>
      <c r="AC31" s="1803">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01" t="s">
        <v>2565</v>
      </c>
      <c r="Q32" s="1802" t="str">
        <f t="shared" si="11"/>
        <v>商业类型</v>
      </c>
      <c r="R32" s="774" t="s">
        <v>17</v>
      </c>
      <c r="S32" s="775">
        <f t="shared" si="12"/>
        <v>100</v>
      </c>
      <c r="T32" s="774" t="s">
        <v>17</v>
      </c>
      <c r="U32" s="775">
        <f t="shared" si="13"/>
        <v>100</v>
      </c>
      <c r="V32" s="774" t="s">
        <v>17</v>
      </c>
      <c r="W32" s="775">
        <f t="shared" si="14"/>
        <v>100</v>
      </c>
      <c r="X32" s="1805"/>
      <c r="Y32" s="3204" t="s">
        <v>2565</v>
      </c>
      <c r="Z32" s="1806" t="str">
        <f t="shared" si="15"/>
        <v>商业类型</v>
      </c>
      <c r="AA32" s="1803">
        <f t="shared" si="3"/>
        <v>1</v>
      </c>
      <c r="AB32" s="1803">
        <f t="shared" si="4"/>
        <v>1</v>
      </c>
      <c r="AC32" s="180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2"/>
      <c r="Q33" s="776" t="str">
        <f t="shared" si="11"/>
        <v>项目建筑规模</v>
      </c>
      <c r="R33" s="777" t="s">
        <v>17</v>
      </c>
      <c r="S33" s="778" t="e">
        <f t="shared" si="12"/>
        <v>#N/A</v>
      </c>
      <c r="T33" s="777" t="s">
        <v>17</v>
      </c>
      <c r="U33" s="778" t="e">
        <f t="shared" si="13"/>
        <v>#N/A</v>
      </c>
      <c r="V33" s="777" t="s">
        <v>17</v>
      </c>
      <c r="W33" s="778" t="e">
        <f t="shared" si="14"/>
        <v>#N/A</v>
      </c>
      <c r="X33" s="779"/>
      <c r="Y33" s="3204"/>
      <c r="Z33" s="780" t="str">
        <f t="shared" si="15"/>
        <v>项目建筑规模</v>
      </c>
      <c r="AA33" s="1803" t="e">
        <f t="shared" si="3"/>
        <v>#N/A</v>
      </c>
      <c r="AB33" s="1803" t="e">
        <f t="shared" si="4"/>
        <v>#N/A</v>
      </c>
      <c r="AC33" s="1803"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02"/>
      <c r="Q34" s="1802" t="str">
        <f t="shared" si="11"/>
        <v>建筑结构</v>
      </c>
      <c r="R34" s="774" t="s">
        <v>17</v>
      </c>
      <c r="S34" s="775">
        <f t="shared" si="12"/>
        <v>100</v>
      </c>
      <c r="T34" s="774" t="s">
        <v>17</v>
      </c>
      <c r="U34" s="775">
        <f t="shared" si="13"/>
        <v>100</v>
      </c>
      <c r="V34" s="774" t="s">
        <v>17</v>
      </c>
      <c r="W34" s="775">
        <f t="shared" si="14"/>
        <v>100</v>
      </c>
      <c r="X34" s="1805"/>
      <c r="Y34" s="3204"/>
      <c r="Z34" s="1806" t="str">
        <f t="shared" si="15"/>
        <v>建筑结构</v>
      </c>
      <c r="AA34" s="1803">
        <f t="shared" si="3"/>
        <v>1</v>
      </c>
      <c r="AB34" s="1803">
        <f t="shared" si="4"/>
        <v>1</v>
      </c>
      <c r="AC34" s="1803">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02"/>
      <c r="Q35" s="1802" t="str">
        <f t="shared" si="11"/>
        <v>公共部分装修</v>
      </c>
      <c r="R35" s="774" t="s">
        <v>17</v>
      </c>
      <c r="S35" s="775">
        <f t="shared" si="12"/>
        <v>100</v>
      </c>
      <c r="T35" s="774" t="s">
        <v>17</v>
      </c>
      <c r="U35" s="775">
        <f t="shared" si="13"/>
        <v>100</v>
      </c>
      <c r="V35" s="774" t="s">
        <v>17</v>
      </c>
      <c r="W35" s="775">
        <f t="shared" si="14"/>
        <v>100</v>
      </c>
      <c r="X35" s="1805"/>
      <c r="Y35" s="3204"/>
      <c r="Z35" s="1806" t="str">
        <f t="shared" si="15"/>
        <v>公共部分装修</v>
      </c>
      <c r="AA35" s="1803">
        <f t="shared" si="3"/>
        <v>1</v>
      </c>
      <c r="AB35" s="1803">
        <f t="shared" si="4"/>
        <v>1</v>
      </c>
      <c r="AC35" s="180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2"/>
      <c r="Q36" s="1802" t="str">
        <f t="shared" si="11"/>
        <v>成新度</v>
      </c>
      <c r="R36" s="774" t="s">
        <v>17</v>
      </c>
      <c r="S36" s="775" t="e">
        <f t="shared" si="12"/>
        <v>#N/A</v>
      </c>
      <c r="T36" s="774" t="s">
        <v>17</v>
      </c>
      <c r="U36" s="775" t="e">
        <f t="shared" si="13"/>
        <v>#N/A</v>
      </c>
      <c r="V36" s="774" t="s">
        <v>17</v>
      </c>
      <c r="W36" s="775" t="e">
        <f t="shared" si="14"/>
        <v>#N/A</v>
      </c>
      <c r="X36" s="1805"/>
      <c r="Y36" s="3204"/>
      <c r="Z36" s="1806" t="str">
        <f t="shared" si="15"/>
        <v>成新度</v>
      </c>
      <c r="AA36" s="1803" t="e">
        <f t="shared" si="3"/>
        <v>#N/A</v>
      </c>
      <c r="AB36" s="1803" t="e">
        <f t="shared" si="4"/>
        <v>#N/A</v>
      </c>
      <c r="AC36" s="1803"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02"/>
      <c r="Q37" s="1787"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02" t="s">
        <v>2565</v>
      </c>
      <c r="Q38" s="1802" t="str">
        <f t="shared" si="11"/>
        <v>业态</v>
      </c>
      <c r="R38" s="774" t="s">
        <v>17</v>
      </c>
      <c r="S38" s="775">
        <f t="shared" si="12"/>
        <v>100</v>
      </c>
      <c r="T38" s="774" t="s">
        <v>17</v>
      </c>
      <c r="U38" s="775">
        <f t="shared" si="13"/>
        <v>100</v>
      </c>
      <c r="V38" s="774" t="s">
        <v>17</v>
      </c>
      <c r="W38" s="775">
        <f t="shared" si="14"/>
        <v>100</v>
      </c>
      <c r="X38" s="1805"/>
      <c r="Y38" s="3204" t="s">
        <v>2565</v>
      </c>
      <c r="Z38" s="1806" t="str">
        <f t="shared" si="15"/>
        <v>业态</v>
      </c>
      <c r="AA38" s="1803">
        <f t="shared" si="3"/>
        <v>1</v>
      </c>
      <c r="AB38" s="1803">
        <f t="shared" si="4"/>
        <v>1</v>
      </c>
      <c r="AC38" s="1803">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02"/>
      <c r="Q39" s="1802" t="str">
        <f t="shared" si="11"/>
        <v>层高</v>
      </c>
      <c r="R39" s="774" t="s">
        <v>17</v>
      </c>
      <c r="S39" s="775">
        <f t="shared" si="12"/>
        <v>100</v>
      </c>
      <c r="T39" s="774" t="s">
        <v>17</v>
      </c>
      <c r="U39" s="775">
        <f t="shared" si="13"/>
        <v>100</v>
      </c>
      <c r="V39" s="774" t="s">
        <v>17</v>
      </c>
      <c r="W39" s="775">
        <f t="shared" si="14"/>
        <v>100</v>
      </c>
      <c r="X39" s="1805"/>
      <c r="Y39" s="3204"/>
      <c r="Z39" s="1806" t="str">
        <f t="shared" si="15"/>
        <v>层高</v>
      </c>
      <c r="AA39" s="1803">
        <f t="shared" si="3"/>
        <v>1</v>
      </c>
      <c r="AB39" s="1803">
        <f t="shared" si="4"/>
        <v>1</v>
      </c>
      <c r="AC39" s="180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2"/>
      <c r="Q40" s="1802" t="str">
        <f t="shared" si="11"/>
        <v>单套建筑面积</v>
      </c>
      <c r="R40" s="774" t="s">
        <v>17</v>
      </c>
      <c r="S40" s="775">
        <f t="shared" si="12"/>
        <v>100</v>
      </c>
      <c r="T40" s="774" t="s">
        <v>17</v>
      </c>
      <c r="U40" s="775">
        <f t="shared" si="13"/>
        <v>100</v>
      </c>
      <c r="V40" s="774" t="s">
        <v>17</v>
      </c>
      <c r="W40" s="775">
        <f t="shared" si="14"/>
        <v>100</v>
      </c>
      <c r="X40" s="1805"/>
      <c r="Y40" s="3204"/>
      <c r="Z40" s="1806" t="str">
        <f t="shared" si="15"/>
        <v>单套建筑面积</v>
      </c>
      <c r="AA40" s="1803">
        <f t="shared" si="3"/>
        <v>1</v>
      </c>
      <c r="AB40" s="1803">
        <f t="shared" si="4"/>
        <v>1</v>
      </c>
      <c r="AC40" s="1803">
        <f t="shared" si="5"/>
        <v>1</v>
      </c>
    </row>
    <row r="41" spans="1:29" s="471" customFormat="1" ht="15">
      <c r="A41" s="468"/>
      <c r="B41" s="180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2"/>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03">
        <f t="shared" si="3"/>
        <v>1</v>
      </c>
      <c r="AB41" s="1803">
        <f t="shared" si="4"/>
        <v>1</v>
      </c>
      <c r="AC41" s="1803">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02"/>
      <c r="Q42" s="1802" t="str">
        <f t="shared" si="11"/>
        <v>内部装修</v>
      </c>
      <c r="R42" s="774" t="s">
        <v>17</v>
      </c>
      <c r="S42" s="775">
        <f t="shared" si="12"/>
        <v>100</v>
      </c>
      <c r="T42" s="774" t="s">
        <v>17</v>
      </c>
      <c r="U42" s="775">
        <f t="shared" si="13"/>
        <v>100</v>
      </c>
      <c r="V42" s="774" t="s">
        <v>17</v>
      </c>
      <c r="W42" s="775">
        <f t="shared" si="14"/>
        <v>100</v>
      </c>
      <c r="X42" s="1805"/>
      <c r="Y42" s="3204"/>
      <c r="Z42" s="1806" t="str">
        <f t="shared" si="15"/>
        <v>内部装修</v>
      </c>
      <c r="AA42" s="1803">
        <f t="shared" si="3"/>
        <v>1</v>
      </c>
      <c r="AB42" s="1803">
        <f t="shared" si="4"/>
        <v>1</v>
      </c>
      <c r="AC42" s="1803">
        <f t="shared" si="5"/>
        <v>1</v>
      </c>
    </row>
    <row r="43" spans="1:29" ht="15">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02"/>
      <c r="Q43" s="1802" t="str">
        <f t="shared" si="11"/>
        <v>内部装修维护情况</v>
      </c>
      <c r="R43" s="774" t="s">
        <v>17</v>
      </c>
      <c r="S43" s="775">
        <f t="shared" si="12"/>
        <v>100</v>
      </c>
      <c r="T43" s="774" t="s">
        <v>17</v>
      </c>
      <c r="U43" s="775">
        <f t="shared" si="13"/>
        <v>100</v>
      </c>
      <c r="V43" s="774" t="s">
        <v>17</v>
      </c>
      <c r="W43" s="775">
        <f t="shared" si="14"/>
        <v>100</v>
      </c>
      <c r="X43" s="1805"/>
      <c r="Y43" s="3204"/>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2"/>
      <c r="Q44" s="1787">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2"/>
      <c r="Q45" s="1802">
        <f t="shared" si="11"/>
        <v>111</v>
      </c>
      <c r="R45" s="774" t="s">
        <v>17</v>
      </c>
      <c r="S45" s="775">
        <f t="shared" si="12"/>
        <v>100</v>
      </c>
      <c r="T45" s="774" t="s">
        <v>17</v>
      </c>
      <c r="U45" s="775">
        <f t="shared" si="13"/>
        <v>100</v>
      </c>
      <c r="V45" s="774" t="s">
        <v>17</v>
      </c>
      <c r="W45" s="775">
        <f t="shared" si="14"/>
        <v>100</v>
      </c>
      <c r="X45" s="1805"/>
      <c r="Y45" s="3204"/>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3"/>
      <c r="Q46" s="1802">
        <f t="shared" si="11"/>
        <v>111</v>
      </c>
      <c r="R46" s="774" t="s">
        <v>17</v>
      </c>
      <c r="S46" s="775">
        <f t="shared" si="12"/>
        <v>100</v>
      </c>
      <c r="T46" s="774" t="s">
        <v>17</v>
      </c>
      <c r="U46" s="775">
        <f t="shared" si="13"/>
        <v>100</v>
      </c>
      <c r="V46" s="774" t="s">
        <v>17</v>
      </c>
      <c r="W46" s="775">
        <f t="shared" si="14"/>
        <v>100</v>
      </c>
      <c r="X46" s="1805"/>
      <c r="Y46" s="3205"/>
      <c r="Z46" s="1806">
        <f t="shared" si="15"/>
        <v>111</v>
      </c>
      <c r="AA46" s="1803">
        <f t="shared" si="3"/>
        <v>1</v>
      </c>
      <c r="AB46" s="1803">
        <f t="shared" si="4"/>
        <v>1</v>
      </c>
      <c r="AC46" s="1803">
        <f t="shared" si="5"/>
        <v>1</v>
      </c>
    </row>
    <row r="47" spans="1:29" ht="15">
      <c r="A47" s="479" t="s">
        <v>2577</v>
      </c>
      <c r="B47" s="480"/>
      <c r="C47" s="1407" t="s">
        <v>1</v>
      </c>
      <c r="D47" s="1408"/>
      <c r="E47" s="1409"/>
      <c r="F47" s="1410"/>
      <c r="G47" s="1411"/>
      <c r="H47" s="1412"/>
      <c r="I47" s="1409"/>
      <c r="J47" s="1412"/>
      <c r="K47" s="783"/>
      <c r="L47" s="1143"/>
      <c r="M47" s="1144"/>
      <c r="N47" s="1131"/>
      <c r="O47" s="1144"/>
      <c r="P47" s="3197" t="str">
        <f>A47</f>
        <v>成交单价（元/平方米）</v>
      </c>
      <c r="Q47" s="3197"/>
      <c r="R47" s="3228">
        <f>E47</f>
        <v>0</v>
      </c>
      <c r="S47" s="3228"/>
      <c r="T47" s="3228">
        <f>G47</f>
        <v>0</v>
      </c>
      <c r="U47" s="3228"/>
      <c r="V47" s="3228">
        <f>I47</f>
        <v>0</v>
      </c>
      <c r="W47" s="3228"/>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94" t="str">
        <f>A49</f>
        <v>估价对象XX用房的比较价值（楼面单价，元/平方米）</v>
      </c>
      <c r="Q49" s="3195"/>
      <c r="R49" s="3196" t="e">
        <f>IF(F1="售价",ROUND(AVERAGE(R48:V48),0),ROUND(AVERAGE(R48:V48),1))</f>
        <v>#DIV/0!</v>
      </c>
      <c r="S49" s="3196"/>
      <c r="T49" s="3196"/>
      <c r="U49" s="3196"/>
      <c r="V49" s="3196"/>
      <c r="W49" s="319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2548</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2550</v>
      </c>
      <c r="B61" s="510"/>
      <c r="C61" s="522" t="s">
        <v>2652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2680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2563</v>
      </c>
      <c r="B100" s="528" t="s">
        <v>2681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62" t="s">
        <v>2686</v>
      </c>
      <c r="C1" s="1620" t="s">
        <v>2530</v>
      </c>
      <c r="D1" s="1621"/>
      <c r="E1" s="1630"/>
      <c r="F1" s="257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7400</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12" t="s">
        <v>2646</v>
      </c>
      <c r="D4" s="3213"/>
      <c r="E4" s="3214" t="s">
        <v>2647</v>
      </c>
      <c r="F4" s="3215"/>
      <c r="G4" s="3212" t="s">
        <v>2648</v>
      </c>
      <c r="H4" s="3213"/>
      <c r="I4" s="3212" t="s">
        <v>2649</v>
      </c>
      <c r="J4" s="3213"/>
      <c r="K4" s="610" t="s">
        <v>2650</v>
      </c>
      <c r="L4" s="1130"/>
      <c r="M4" s="1131"/>
      <c r="N4" s="1131"/>
      <c r="O4" s="1131"/>
      <c r="P4" s="3246" t="s">
        <v>2651</v>
      </c>
      <c r="Q4" s="3247"/>
      <c r="R4" s="3250" t="s">
        <v>2647</v>
      </c>
      <c r="S4" s="3251"/>
      <c r="T4" s="3250" t="s">
        <v>2648</v>
      </c>
      <c r="U4" s="3251"/>
      <c r="V4" s="3252" t="s">
        <v>2649</v>
      </c>
      <c r="W4" s="3252"/>
      <c r="X4" s="2663"/>
      <c r="Y4" s="3250" t="s">
        <v>2651</v>
      </c>
      <c r="Z4" s="3251"/>
      <c r="AA4" s="3254" t="s">
        <v>2647</v>
      </c>
      <c r="AB4" s="3254" t="s">
        <v>2648</v>
      </c>
      <c r="AC4" s="3243" t="s">
        <v>2649</v>
      </c>
    </row>
    <row r="5" spans="1:29" ht="15">
      <c r="A5" s="404"/>
      <c r="B5" s="405"/>
      <c r="C5" s="3231" t="s">
        <v>2542</v>
      </c>
      <c r="D5" s="3232"/>
      <c r="E5" s="3238" t="s">
        <v>2543</v>
      </c>
      <c r="F5" s="3239"/>
      <c r="G5" s="3231" t="s">
        <v>2544</v>
      </c>
      <c r="H5" s="3232"/>
      <c r="I5" s="3231" t="s">
        <v>2545</v>
      </c>
      <c r="J5" s="3232"/>
      <c r="K5" s="610"/>
      <c r="L5" s="1130"/>
      <c r="M5" s="1131"/>
      <c r="N5" s="1131"/>
      <c r="O5" s="1131"/>
      <c r="P5" s="3248"/>
      <c r="Q5" s="3219"/>
      <c r="R5" s="3224"/>
      <c r="S5" s="3225"/>
      <c r="T5" s="3224"/>
      <c r="U5" s="3225"/>
      <c r="V5" s="3228"/>
      <c r="W5" s="3228"/>
      <c r="X5" s="1805"/>
      <c r="Y5" s="3224"/>
      <c r="Z5" s="3225"/>
      <c r="AA5" s="3210"/>
      <c r="AB5" s="3210"/>
      <c r="AC5" s="3244"/>
    </row>
    <row r="6" spans="1:29" ht="15.75" thickBot="1">
      <c r="A6" s="406"/>
      <c r="B6" s="407"/>
      <c r="C6" s="3229" t="s">
        <v>2546</v>
      </c>
      <c r="D6" s="3230"/>
      <c r="E6" s="3236" t="s">
        <v>2546</v>
      </c>
      <c r="F6" s="3237"/>
      <c r="G6" s="3229" t="s">
        <v>2546</v>
      </c>
      <c r="H6" s="3230"/>
      <c r="I6" s="3229" t="s">
        <v>2546</v>
      </c>
      <c r="J6" s="3230"/>
      <c r="K6" s="610" t="s">
        <v>2547</v>
      </c>
      <c r="L6" s="1130"/>
      <c r="M6" s="1131"/>
      <c r="N6" s="1131"/>
      <c r="O6" s="1131"/>
      <c r="P6" s="3249"/>
      <c r="Q6" s="3221"/>
      <c r="R6" s="3224"/>
      <c r="S6" s="3225"/>
      <c r="T6" s="3226"/>
      <c r="U6" s="3227"/>
      <c r="V6" s="3228"/>
      <c r="W6" s="3228"/>
      <c r="X6" s="1805"/>
      <c r="Y6" s="3226"/>
      <c r="Z6" s="3227"/>
      <c r="AA6" s="3211"/>
      <c r="AB6" s="3211"/>
      <c r="AC6" s="3245"/>
    </row>
    <row r="7" spans="1:29" s="117" customFormat="1" ht="15.75" thickBot="1">
      <c r="A7" s="408" t="s">
        <v>2548</v>
      </c>
      <c r="B7" s="409"/>
      <c r="C7" s="410">
        <f>'数据-取费表'!B2</f>
        <v>44019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3" t="s">
        <v>2549</v>
      </c>
      <c r="Q7" s="3235"/>
      <c r="R7" s="770" t="s">
        <v>17</v>
      </c>
      <c r="S7" s="771">
        <f t="shared" ref="S7:S15" si="0">F7</f>
        <v>0</v>
      </c>
      <c r="T7" s="770" t="s">
        <v>17</v>
      </c>
      <c r="U7" s="771">
        <f t="shared" ref="U7:U15" si="1">H7</f>
        <v>0</v>
      </c>
      <c r="V7" s="770" t="s">
        <v>17</v>
      </c>
      <c r="W7" s="771">
        <f t="shared" ref="W7:W15" si="2">J7</f>
        <v>0</v>
      </c>
      <c r="X7" s="772"/>
      <c r="Y7" s="3233" t="s">
        <v>2549</v>
      </c>
      <c r="Z7" s="3234"/>
      <c r="AA7" s="773" t="e">
        <f>D7/F7</f>
        <v>#DIV/0!</v>
      </c>
      <c r="AB7" s="773" t="e">
        <f>D7/H7</f>
        <v>#DIV/0!</v>
      </c>
      <c r="AC7" s="266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3" t="s">
        <v>2552</v>
      </c>
      <c r="Q8" s="3234"/>
      <c r="R8" s="770" t="s">
        <v>17</v>
      </c>
      <c r="S8" s="771">
        <f t="shared" si="0"/>
        <v>0</v>
      </c>
      <c r="T8" s="770" t="s">
        <v>17</v>
      </c>
      <c r="U8" s="771">
        <f t="shared" si="1"/>
        <v>0</v>
      </c>
      <c r="V8" s="770" t="s">
        <v>17</v>
      </c>
      <c r="W8" s="771">
        <f t="shared" si="2"/>
        <v>0</v>
      </c>
      <c r="X8" s="772"/>
      <c r="Y8" s="3233" t="s">
        <v>2552</v>
      </c>
      <c r="Z8" s="3234"/>
      <c r="AA8" s="773" t="e">
        <f t="shared" ref="AA8:AA47" si="3">D8/F8</f>
        <v>#DIV/0!</v>
      </c>
      <c r="AB8" s="773" t="e">
        <f t="shared" ref="AB8:AB47" si="4">D8/H8</f>
        <v>#DIV/0!</v>
      </c>
      <c r="AC8" s="266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8" t="s">
        <v>2555</v>
      </c>
      <c r="Q9" s="1787"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266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8"/>
      <c r="Q10" s="178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6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8"/>
      <c r="Q11" s="178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8"/>
      <c r="Q12" s="178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8"/>
      <c r="Q13" s="178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8"/>
      <c r="Q14" s="178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64">
        <f t="shared" si="5"/>
        <v>1</v>
      </c>
    </row>
    <row r="15" spans="1:29" ht="71.25">
      <c r="A15" s="440" t="s">
        <v>2559</v>
      </c>
      <c r="B15" s="629" t="s">
        <v>2687</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6" t="s">
        <v>2560</v>
      </c>
      <c r="Q15" s="1802" t="str">
        <f t="shared" si="6"/>
        <v>办公集聚程度</v>
      </c>
      <c r="R15" s="774" t="s">
        <v>17</v>
      </c>
      <c r="S15" s="775">
        <f t="shared" si="0"/>
        <v>100</v>
      </c>
      <c r="T15" s="774" t="s">
        <v>17</v>
      </c>
      <c r="U15" s="775">
        <f t="shared" si="1"/>
        <v>100</v>
      </c>
      <c r="V15" s="774" t="s">
        <v>17</v>
      </c>
      <c r="W15" s="775">
        <f t="shared" si="2"/>
        <v>100</v>
      </c>
      <c r="X15" s="1805"/>
      <c r="Y15" s="3199" t="s">
        <v>2560</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207"/>
      <c r="Q16" s="1802"/>
      <c r="R16" s="774"/>
      <c r="S16" s="775"/>
      <c r="T16" s="774"/>
      <c r="U16" s="775"/>
      <c r="V16" s="774"/>
      <c r="W16" s="775"/>
      <c r="X16" s="1805"/>
      <c r="Y16" s="3200"/>
      <c r="Z16" s="1806"/>
      <c r="AA16" s="1803">
        <v>1</v>
      </c>
      <c r="AB16" s="1803">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7"/>
      <c r="Q17" s="1802" t="str">
        <f>B17</f>
        <v>交通便捷度</v>
      </c>
      <c r="R17" s="774" t="s">
        <v>17</v>
      </c>
      <c r="S17" s="775">
        <f>F17</f>
        <v>100</v>
      </c>
      <c r="T17" s="774" t="s">
        <v>17</v>
      </c>
      <c r="U17" s="775">
        <f>H17</f>
        <v>100</v>
      </c>
      <c r="V17" s="774" t="s">
        <v>17</v>
      </c>
      <c r="W17" s="775">
        <f>J17</f>
        <v>100</v>
      </c>
      <c r="X17" s="1805"/>
      <c r="Y17" s="3200"/>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207"/>
      <c r="Q18" s="1802"/>
      <c r="R18" s="774"/>
      <c r="S18" s="775"/>
      <c r="T18" s="774"/>
      <c r="U18" s="775"/>
      <c r="V18" s="774"/>
      <c r="W18" s="775"/>
      <c r="X18" s="1805"/>
      <c r="Y18" s="3200"/>
      <c r="Z18" s="1806"/>
      <c r="AA18" s="1803">
        <v>1</v>
      </c>
      <c r="AB18" s="1803">
        <v>1</v>
      </c>
      <c r="AC18" s="2667">
        <v>1</v>
      </c>
    </row>
    <row r="19" spans="1:29" ht="42.75">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7"/>
      <c r="Q19" s="1802" t="str">
        <f>B19</f>
        <v>公共配套设施</v>
      </c>
      <c r="R19" s="774" t="s">
        <v>17</v>
      </c>
      <c r="S19" s="775">
        <f>F19</f>
        <v>100</v>
      </c>
      <c r="T19" s="774" t="s">
        <v>17</v>
      </c>
      <c r="U19" s="775">
        <f>H19</f>
        <v>100</v>
      </c>
      <c r="V19" s="774" t="s">
        <v>17</v>
      </c>
      <c r="W19" s="775">
        <f>J19</f>
        <v>100</v>
      </c>
      <c r="X19" s="1805"/>
      <c r="Y19" s="3200"/>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207"/>
      <c r="Q20" s="1802"/>
      <c r="R20" s="774"/>
      <c r="S20" s="775"/>
      <c r="T20" s="774"/>
      <c r="U20" s="775"/>
      <c r="V20" s="774"/>
      <c r="W20" s="775"/>
      <c r="X20" s="1805"/>
      <c r="Y20" s="3200"/>
      <c r="Z20" s="1806"/>
      <c r="AA20" s="1803">
        <v>1</v>
      </c>
      <c r="AB20" s="1803">
        <v>1</v>
      </c>
      <c r="AC20" s="2667">
        <v>1</v>
      </c>
    </row>
    <row r="21" spans="1:29" ht="28.5">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7"/>
      <c r="Q21" s="1802" t="str">
        <f>B21</f>
        <v>基础设施水平</v>
      </c>
      <c r="R21" s="774" t="s">
        <v>17</v>
      </c>
      <c r="S21" s="775">
        <f>F21</f>
        <v>100</v>
      </c>
      <c r="T21" s="774" t="s">
        <v>17</v>
      </c>
      <c r="U21" s="775">
        <f>H21</f>
        <v>100</v>
      </c>
      <c r="V21" s="774" t="s">
        <v>17</v>
      </c>
      <c r="W21" s="775">
        <f>J21</f>
        <v>100</v>
      </c>
      <c r="X21" s="1805"/>
      <c r="Y21" s="3200"/>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07"/>
      <c r="Q22" s="1802"/>
      <c r="R22" s="774"/>
      <c r="S22" s="775"/>
      <c r="T22" s="774"/>
      <c r="U22" s="775"/>
      <c r="V22" s="774"/>
      <c r="W22" s="775"/>
      <c r="X22" s="1805"/>
      <c r="Y22" s="3200"/>
      <c r="Z22" s="1806"/>
      <c r="AA22" s="1803">
        <v>1</v>
      </c>
      <c r="AB22" s="1803">
        <v>1</v>
      </c>
      <c r="AC22" s="2667">
        <v>1</v>
      </c>
    </row>
    <row r="23" spans="1:29" ht="42.75">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7"/>
      <c r="Q23" s="1802" t="str">
        <f>B23</f>
        <v>环境质量</v>
      </c>
      <c r="R23" s="774" t="s">
        <v>17</v>
      </c>
      <c r="S23" s="775">
        <f>F23</f>
        <v>100</v>
      </c>
      <c r="T23" s="774" t="s">
        <v>17</v>
      </c>
      <c r="U23" s="775">
        <f>H23</f>
        <v>100</v>
      </c>
      <c r="V23" s="774" t="s">
        <v>17</v>
      </c>
      <c r="W23" s="775">
        <f>J23</f>
        <v>100</v>
      </c>
      <c r="X23" s="1805"/>
      <c r="Y23" s="3200"/>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207"/>
      <c r="Q24" s="1802"/>
      <c r="R24" s="774"/>
      <c r="S24" s="775"/>
      <c r="T24" s="774"/>
      <c r="U24" s="775"/>
      <c r="V24" s="774"/>
      <c r="W24" s="775"/>
      <c r="X24" s="1805"/>
      <c r="Y24" s="3200"/>
      <c r="Z24" s="1806"/>
      <c r="AA24" s="1803">
        <v>1</v>
      </c>
      <c r="AB24" s="1803">
        <v>1</v>
      </c>
      <c r="AC24" s="2667">
        <v>1</v>
      </c>
    </row>
    <row r="25" spans="1:29" ht="27">
      <c r="A25" s="404"/>
      <c r="B25" s="631" t="s">
        <v>2691</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07"/>
      <c r="Q25" s="1802" t="str">
        <f>B25</f>
        <v>毗邻道路的类型与等级</v>
      </c>
      <c r="R25" s="774" t="s">
        <v>17</v>
      </c>
      <c r="S25" s="775">
        <f>F25</f>
        <v>100</v>
      </c>
      <c r="T25" s="774" t="s">
        <v>17</v>
      </c>
      <c r="U25" s="775">
        <f>H25</f>
        <v>100</v>
      </c>
      <c r="V25" s="774" t="s">
        <v>17</v>
      </c>
      <c r="W25" s="775">
        <f>J25</f>
        <v>100</v>
      </c>
      <c r="X25" s="1805"/>
      <c r="Y25" s="3200"/>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207"/>
      <c r="Q26" s="1802"/>
      <c r="R26" s="774"/>
      <c r="S26" s="775"/>
      <c r="T26" s="774"/>
      <c r="U26" s="775"/>
      <c r="V26" s="774"/>
      <c r="W26" s="775"/>
      <c r="X26" s="1805"/>
      <c r="Y26" s="3200"/>
      <c r="Z26" s="1806"/>
      <c r="AA26" s="1803">
        <v>1</v>
      </c>
      <c r="AB26" s="1803">
        <v>1</v>
      </c>
      <c r="AC26" s="266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7"/>
      <c r="Q27" s="1802" t="str">
        <f t="shared" ref="Q27:Q47" si="11">B27</f>
        <v>楼层</v>
      </c>
      <c r="R27" s="774" t="s">
        <v>17</v>
      </c>
      <c r="S27" s="775">
        <f>F27</f>
        <v>100</v>
      </c>
      <c r="T27" s="774" t="s">
        <v>17</v>
      </c>
      <c r="U27" s="775">
        <f>H27</f>
        <v>100</v>
      </c>
      <c r="V27" s="774" t="s">
        <v>17</v>
      </c>
      <c r="W27" s="775">
        <f>J27</f>
        <v>100</v>
      </c>
      <c r="X27" s="1805"/>
      <c r="Y27" s="3200"/>
      <c r="Z27" s="1806" t="str">
        <f>Q27</f>
        <v>楼层</v>
      </c>
      <c r="AA27" s="1803">
        <f t="shared" si="3"/>
        <v>1</v>
      </c>
      <c r="AB27" s="1803">
        <f t="shared" si="4"/>
        <v>1</v>
      </c>
      <c r="AC27" s="2667">
        <f t="shared" si="5"/>
        <v>1</v>
      </c>
    </row>
    <row r="28" spans="1:29" s="117" customFormat="1" ht="15">
      <c r="A28" s="431"/>
      <c r="B28" s="631" t="s">
        <v>2692</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07"/>
      <c r="Q28" s="1787" t="str">
        <f t="shared" si="11"/>
        <v>朝向</v>
      </c>
      <c r="R28" s="770" t="s">
        <v>17</v>
      </c>
      <c r="S28" s="771">
        <f>F28</f>
        <v>100</v>
      </c>
      <c r="T28" s="770" t="s">
        <v>17</v>
      </c>
      <c r="U28" s="771">
        <f>H28</f>
        <v>100</v>
      </c>
      <c r="V28" s="770" t="s">
        <v>17</v>
      </c>
      <c r="W28" s="771">
        <f>J28</f>
        <v>100</v>
      </c>
      <c r="X28" s="772"/>
      <c r="Y28" s="3200"/>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07"/>
      <c r="Q29" s="1802">
        <f t="shared" si="11"/>
        <v>111</v>
      </c>
      <c r="R29" s="774" t="s">
        <v>17</v>
      </c>
      <c r="S29" s="775">
        <f t="shared" ref="S29:S47" si="12">F29</f>
        <v>100</v>
      </c>
      <c r="T29" s="774" t="s">
        <v>17</v>
      </c>
      <c r="U29" s="775">
        <f t="shared" ref="U29:U47" si="13">H29</f>
        <v>100</v>
      </c>
      <c r="V29" s="774" t="s">
        <v>17</v>
      </c>
      <c r="W29" s="775">
        <f t="shared" ref="W29:W47" si="14">J29</f>
        <v>100</v>
      </c>
      <c r="X29" s="1805"/>
      <c r="Y29" s="3200"/>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07"/>
      <c r="Q30" s="1802">
        <f t="shared" si="11"/>
        <v>111</v>
      </c>
      <c r="R30" s="774" t="s">
        <v>17</v>
      </c>
      <c r="S30" s="775">
        <f t="shared" si="12"/>
        <v>100</v>
      </c>
      <c r="T30" s="774" t="s">
        <v>17</v>
      </c>
      <c r="U30" s="775">
        <f t="shared" si="13"/>
        <v>100</v>
      </c>
      <c r="V30" s="774" t="s">
        <v>17</v>
      </c>
      <c r="W30" s="775">
        <f t="shared" si="14"/>
        <v>100</v>
      </c>
      <c r="X30" s="1805"/>
      <c r="Y30" s="3200"/>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07"/>
      <c r="Q31" s="1802">
        <f t="shared" si="11"/>
        <v>111</v>
      </c>
      <c r="R31" s="774" t="s">
        <v>17</v>
      </c>
      <c r="S31" s="775">
        <f t="shared" si="12"/>
        <v>100</v>
      </c>
      <c r="T31" s="774" t="s">
        <v>17</v>
      </c>
      <c r="U31" s="775">
        <f t="shared" si="13"/>
        <v>100</v>
      </c>
      <c r="V31" s="774" t="s">
        <v>17</v>
      </c>
      <c r="W31" s="775">
        <f t="shared" si="14"/>
        <v>100</v>
      </c>
      <c r="X31" s="1805"/>
      <c r="Y31" s="3200"/>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07"/>
      <c r="Q32" s="1802">
        <f t="shared" si="11"/>
        <v>111</v>
      </c>
      <c r="R32" s="774" t="s">
        <v>17</v>
      </c>
      <c r="S32" s="775">
        <f t="shared" si="12"/>
        <v>100</v>
      </c>
      <c r="T32" s="774" t="s">
        <v>17</v>
      </c>
      <c r="U32" s="775">
        <f t="shared" si="13"/>
        <v>100</v>
      </c>
      <c r="V32" s="774" t="s">
        <v>17</v>
      </c>
      <c r="W32" s="775">
        <f t="shared" si="14"/>
        <v>100</v>
      </c>
      <c r="X32" s="1805"/>
      <c r="Y32" s="3200"/>
      <c r="Z32" s="1806">
        <f t="shared" si="15"/>
        <v>111</v>
      </c>
      <c r="AA32" s="1803">
        <f t="shared" si="3"/>
        <v>1</v>
      </c>
      <c r="AB32" s="1803">
        <f t="shared" si="4"/>
        <v>1</v>
      </c>
      <c r="AC32" s="2667">
        <f t="shared" si="5"/>
        <v>1</v>
      </c>
    </row>
    <row r="33" spans="1:29" ht="15">
      <c r="A33" s="440" t="s">
        <v>2563</v>
      </c>
      <c r="B33" s="71" t="s">
        <v>2693</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01" t="s">
        <v>2565</v>
      </c>
      <c r="Q33" s="1802" t="str">
        <f t="shared" si="11"/>
        <v>建筑类型</v>
      </c>
      <c r="R33" s="774" t="s">
        <v>17</v>
      </c>
      <c r="S33" s="775">
        <f t="shared" si="12"/>
        <v>100</v>
      </c>
      <c r="T33" s="774" t="s">
        <v>17</v>
      </c>
      <c r="U33" s="775">
        <f t="shared" si="13"/>
        <v>100</v>
      </c>
      <c r="V33" s="774" t="s">
        <v>17</v>
      </c>
      <c r="W33" s="775">
        <f t="shared" si="14"/>
        <v>100</v>
      </c>
      <c r="X33" s="1805"/>
      <c r="Y33" s="3204" t="s">
        <v>2565</v>
      </c>
      <c r="Z33" s="1806" t="str">
        <f t="shared" si="15"/>
        <v>建筑类型</v>
      </c>
      <c r="AA33" s="1803">
        <f t="shared" si="3"/>
        <v>1</v>
      </c>
      <c r="AB33" s="1803">
        <f t="shared" si="4"/>
        <v>1</v>
      </c>
      <c r="AC33" s="266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2"/>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03" t="e">
        <f t="shared" si="3"/>
        <v>#N/A</v>
      </c>
      <c r="AB34" s="1803" t="e">
        <f t="shared" si="4"/>
        <v>#N/A</v>
      </c>
      <c r="AC34" s="266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2"/>
      <c r="Q35" s="1802" t="str">
        <f t="shared" si="11"/>
        <v>建筑结构</v>
      </c>
      <c r="R35" s="774" t="s">
        <v>17</v>
      </c>
      <c r="S35" s="775">
        <f t="shared" si="12"/>
        <v>100</v>
      </c>
      <c r="T35" s="774" t="s">
        <v>17</v>
      </c>
      <c r="U35" s="775">
        <f t="shared" si="13"/>
        <v>100</v>
      </c>
      <c r="V35" s="774" t="s">
        <v>17</v>
      </c>
      <c r="W35" s="775">
        <f t="shared" si="14"/>
        <v>100</v>
      </c>
      <c r="X35" s="1805"/>
      <c r="Y35" s="3204"/>
      <c r="Z35" s="1806" t="str">
        <f t="shared" si="15"/>
        <v>建筑结构</v>
      </c>
      <c r="AA35" s="1803">
        <f t="shared" si="3"/>
        <v>1</v>
      </c>
      <c r="AB35" s="1803">
        <f t="shared" si="4"/>
        <v>1</v>
      </c>
      <c r="AC35" s="266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2"/>
      <c r="Q36" s="1802" t="str">
        <f t="shared" si="11"/>
        <v>公共部分装修</v>
      </c>
      <c r="R36" s="774" t="s">
        <v>17</v>
      </c>
      <c r="S36" s="775">
        <f t="shared" si="12"/>
        <v>100</v>
      </c>
      <c r="T36" s="774" t="s">
        <v>17</v>
      </c>
      <c r="U36" s="775">
        <f t="shared" si="13"/>
        <v>100</v>
      </c>
      <c r="V36" s="774" t="s">
        <v>17</v>
      </c>
      <c r="W36" s="775">
        <f t="shared" si="14"/>
        <v>100</v>
      </c>
      <c r="X36" s="1805"/>
      <c r="Y36" s="3204"/>
      <c r="Z36" s="1806" t="str">
        <f t="shared" si="15"/>
        <v>公共部分装修</v>
      </c>
      <c r="AA36" s="1803">
        <f t="shared" si="3"/>
        <v>1</v>
      </c>
      <c r="AB36" s="1803">
        <f t="shared" si="4"/>
        <v>1</v>
      </c>
      <c r="AC36" s="266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2"/>
      <c r="Q37" s="1802" t="str">
        <f t="shared" si="11"/>
        <v>成新度</v>
      </c>
      <c r="R37" s="774" t="s">
        <v>17</v>
      </c>
      <c r="S37" s="775" t="e">
        <f t="shared" si="12"/>
        <v>#N/A</v>
      </c>
      <c r="T37" s="774" t="s">
        <v>17</v>
      </c>
      <c r="U37" s="775" t="e">
        <f t="shared" si="13"/>
        <v>#N/A</v>
      </c>
      <c r="V37" s="774" t="s">
        <v>17</v>
      </c>
      <c r="W37" s="775" t="e">
        <f t="shared" si="14"/>
        <v>#N/A</v>
      </c>
      <c r="X37" s="1805"/>
      <c r="Y37" s="3204"/>
      <c r="Z37" s="1806" t="str">
        <f t="shared" si="15"/>
        <v>成新度</v>
      </c>
      <c r="AA37" s="1803" t="e">
        <f t="shared" si="3"/>
        <v>#N/A</v>
      </c>
      <c r="AB37" s="1803" t="e">
        <f t="shared" si="4"/>
        <v>#N/A</v>
      </c>
      <c r="AC37" s="266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2"/>
      <c r="Q38" s="1787"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2" t="s">
        <v>2565</v>
      </c>
      <c r="Q39" s="1802" t="str">
        <f t="shared" si="11"/>
        <v>物业管理</v>
      </c>
      <c r="R39" s="774" t="s">
        <v>17</v>
      </c>
      <c r="S39" s="775">
        <f t="shared" si="12"/>
        <v>100</v>
      </c>
      <c r="T39" s="774" t="s">
        <v>17</v>
      </c>
      <c r="U39" s="775">
        <f t="shared" si="13"/>
        <v>100</v>
      </c>
      <c r="V39" s="774" t="s">
        <v>17</v>
      </c>
      <c r="W39" s="775">
        <f t="shared" si="14"/>
        <v>100</v>
      </c>
      <c r="X39" s="1805"/>
      <c r="Y39" s="3204" t="s">
        <v>2565</v>
      </c>
      <c r="Z39" s="1806" t="str">
        <f t="shared" si="15"/>
        <v>物业管理</v>
      </c>
      <c r="AA39" s="1803">
        <f t="shared" si="3"/>
        <v>1</v>
      </c>
      <c r="AB39" s="1803">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2"/>
      <c r="Q40" s="1802" t="str">
        <f t="shared" si="11"/>
        <v>市政基础设施</v>
      </c>
      <c r="R40" s="774" t="s">
        <v>17</v>
      </c>
      <c r="S40" s="775">
        <f t="shared" si="12"/>
        <v>100</v>
      </c>
      <c r="T40" s="774" t="s">
        <v>17</v>
      </c>
      <c r="U40" s="775">
        <f t="shared" si="13"/>
        <v>100</v>
      </c>
      <c r="V40" s="774" t="s">
        <v>17</v>
      </c>
      <c r="W40" s="775">
        <f t="shared" si="14"/>
        <v>100</v>
      </c>
      <c r="X40" s="1805"/>
      <c r="Y40" s="3204"/>
      <c r="Z40" s="1806" t="str">
        <f t="shared" si="15"/>
        <v>市政基础设施</v>
      </c>
      <c r="AA40" s="1803">
        <f t="shared" si="3"/>
        <v>1</v>
      </c>
      <c r="AB40" s="1803">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2"/>
      <c r="Q41" s="1802" t="str">
        <f t="shared" si="11"/>
        <v>层高</v>
      </c>
      <c r="R41" s="774" t="s">
        <v>17</v>
      </c>
      <c r="S41" s="775">
        <f t="shared" si="12"/>
        <v>100</v>
      </c>
      <c r="T41" s="774" t="s">
        <v>17</v>
      </c>
      <c r="U41" s="775">
        <f t="shared" si="13"/>
        <v>100</v>
      </c>
      <c r="V41" s="774" t="s">
        <v>17</v>
      </c>
      <c r="W41" s="775">
        <f t="shared" si="14"/>
        <v>100</v>
      </c>
      <c r="X41" s="1805"/>
      <c r="Y41" s="3204"/>
      <c r="Z41" s="1806" t="str">
        <f t="shared" si="15"/>
        <v>层高</v>
      </c>
      <c r="AA41" s="1803">
        <f t="shared" si="3"/>
        <v>1</v>
      </c>
      <c r="AB41" s="1803">
        <f t="shared" si="4"/>
        <v>1</v>
      </c>
      <c r="AC41" s="2667">
        <f t="shared" si="5"/>
        <v>1</v>
      </c>
    </row>
    <row r="42" spans="1:29" s="471" customFormat="1" ht="15">
      <c r="A42" s="468"/>
      <c r="B42" s="180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2"/>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03">
        <f t="shared" si="3"/>
        <v>1</v>
      </c>
      <c r="AB42" s="1803">
        <f t="shared" si="4"/>
        <v>1</v>
      </c>
      <c r="AC42" s="266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2"/>
      <c r="Q43" s="1802" t="str">
        <f t="shared" si="11"/>
        <v>内部装修</v>
      </c>
      <c r="R43" s="774" t="s">
        <v>17</v>
      </c>
      <c r="S43" s="775">
        <f t="shared" si="12"/>
        <v>100</v>
      </c>
      <c r="T43" s="774" t="s">
        <v>17</v>
      </c>
      <c r="U43" s="775">
        <f t="shared" si="13"/>
        <v>100</v>
      </c>
      <c r="V43" s="774" t="s">
        <v>17</v>
      </c>
      <c r="W43" s="775">
        <f t="shared" si="14"/>
        <v>100</v>
      </c>
      <c r="X43" s="1805"/>
      <c r="Y43" s="3204"/>
      <c r="Z43" s="1806" t="str">
        <f t="shared" si="15"/>
        <v>内部装修</v>
      </c>
      <c r="AA43" s="1803">
        <f t="shared" si="3"/>
        <v>1</v>
      </c>
      <c r="AB43" s="1803">
        <f t="shared" si="4"/>
        <v>1</v>
      </c>
      <c r="AC43" s="2667">
        <f t="shared" si="5"/>
        <v>1</v>
      </c>
    </row>
    <row r="44" spans="1:29" ht="15">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02"/>
      <c r="Q44" s="1802" t="str">
        <f t="shared" si="11"/>
        <v>内部装修维护情况</v>
      </c>
      <c r="R44" s="774" t="s">
        <v>17</v>
      </c>
      <c r="S44" s="775">
        <f t="shared" si="12"/>
        <v>100</v>
      </c>
      <c r="T44" s="774" t="s">
        <v>17</v>
      </c>
      <c r="U44" s="775">
        <f t="shared" si="13"/>
        <v>100</v>
      </c>
      <c r="V44" s="774" t="s">
        <v>17</v>
      </c>
      <c r="W44" s="775">
        <f t="shared" si="14"/>
        <v>100</v>
      </c>
      <c r="X44" s="1805"/>
      <c r="Y44" s="3204"/>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2"/>
      <c r="Q45" s="1787">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2"/>
      <c r="Q46" s="1802">
        <f t="shared" si="11"/>
        <v>111</v>
      </c>
      <c r="R46" s="774" t="s">
        <v>17</v>
      </c>
      <c r="S46" s="775">
        <f t="shared" si="12"/>
        <v>100</v>
      </c>
      <c r="T46" s="774" t="s">
        <v>17</v>
      </c>
      <c r="U46" s="775">
        <f t="shared" si="13"/>
        <v>100</v>
      </c>
      <c r="V46" s="774" t="s">
        <v>17</v>
      </c>
      <c r="W46" s="775">
        <f t="shared" si="14"/>
        <v>100</v>
      </c>
      <c r="X46" s="1805"/>
      <c r="Y46" s="3204"/>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3"/>
      <c r="Q47" s="1802">
        <f t="shared" si="11"/>
        <v>111</v>
      </c>
      <c r="R47" s="774" t="s">
        <v>17</v>
      </c>
      <c r="S47" s="775">
        <f t="shared" si="12"/>
        <v>100</v>
      </c>
      <c r="T47" s="774" t="s">
        <v>17</v>
      </c>
      <c r="U47" s="775">
        <f t="shared" si="13"/>
        <v>100</v>
      </c>
      <c r="V47" s="774" t="s">
        <v>17</v>
      </c>
      <c r="W47" s="775">
        <f t="shared" si="14"/>
        <v>100</v>
      </c>
      <c r="X47" s="1805"/>
      <c r="Y47" s="3205"/>
      <c r="Z47" s="1806">
        <f t="shared" si="15"/>
        <v>111</v>
      </c>
      <c r="AA47" s="1803">
        <f t="shared" si="3"/>
        <v>1</v>
      </c>
      <c r="AB47" s="1803">
        <f t="shared" si="4"/>
        <v>1</v>
      </c>
      <c r="AC47" s="2667">
        <f t="shared" si="5"/>
        <v>1</v>
      </c>
    </row>
    <row r="48" spans="1:29" ht="15">
      <c r="A48" s="479" t="s">
        <v>2577</v>
      </c>
      <c r="B48" s="480"/>
      <c r="C48" s="1407" t="s">
        <v>1</v>
      </c>
      <c r="D48" s="1408"/>
      <c r="E48" s="1409"/>
      <c r="F48" s="1410"/>
      <c r="G48" s="1411"/>
      <c r="H48" s="1412"/>
      <c r="I48" s="1409"/>
      <c r="J48" s="485"/>
      <c r="K48" s="783"/>
      <c r="L48" s="1143"/>
      <c r="M48" s="1131"/>
      <c r="N48" s="1131"/>
      <c r="O48" s="1131"/>
      <c r="P48" s="3208" t="str">
        <f>A48</f>
        <v>成交单价（元/平方米）</v>
      </c>
      <c r="Q48" s="3197"/>
      <c r="R48" s="3198">
        <f>E48</f>
        <v>0</v>
      </c>
      <c r="S48" s="3198"/>
      <c r="T48" s="3198">
        <f>G48</f>
        <v>0</v>
      </c>
      <c r="U48" s="3198"/>
      <c r="V48" s="3198">
        <f>I48</f>
        <v>0</v>
      </c>
      <c r="W48" s="3198"/>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40" t="str">
        <f>A50</f>
        <v>估价对象XX用房的比较价值（楼面单价，元/平方米）</v>
      </c>
      <c r="Q50" s="3241"/>
      <c r="R50" s="3242" t="e">
        <f>IF(F1="售价",ROUND(AVERAGE(R49:V49),0),ROUND(AVERAGE(R49:V49),1))</f>
        <v>#DIV/0!</v>
      </c>
      <c r="S50" s="3242"/>
      <c r="T50" s="3242"/>
      <c r="U50" s="3242"/>
      <c r="V50" s="3242"/>
      <c r="W50" s="3242"/>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74"/>
      <c r="Q58" s="504"/>
    </row>
    <row r="59" spans="1:29" s="508" customFormat="1" ht="15">
      <c r="A59" s="505" t="s">
        <v>2548</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2585</v>
      </c>
      <c r="B61" s="516"/>
      <c r="C61" s="517"/>
      <c r="D61" s="518"/>
      <c r="E61" s="518"/>
      <c r="F61" s="518"/>
      <c r="G61" s="518"/>
      <c r="H61" s="518"/>
      <c r="I61" s="518"/>
      <c r="J61" s="518"/>
      <c r="K61" s="518"/>
      <c r="L61" s="518"/>
      <c r="M61" s="519"/>
      <c r="N61" s="518"/>
      <c r="O61" s="519"/>
      <c r="P61" s="2675"/>
      <c r="Q61" s="504"/>
    </row>
    <row r="62" spans="1:29" s="117" customFormat="1" ht="15">
      <c r="A62" s="521" t="s">
        <v>2550</v>
      </c>
      <c r="B62" s="510"/>
      <c r="C62" s="522" t="s">
        <v>2652</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2588</v>
      </c>
      <c r="B64" s="528" t="s">
        <v>2554</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2699</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2563</v>
      </c>
      <c r="B101" s="528" t="s">
        <v>2612</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2614</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2616</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2617</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2618</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2701</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2620</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62" t="s">
        <v>2702</v>
      </c>
      <c r="C1" s="1620" t="s">
        <v>2530</v>
      </c>
      <c r="D1" s="1621"/>
      <c r="E1" s="1630"/>
      <c r="F1" s="257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7400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2" t="s">
        <v>2646</v>
      </c>
      <c r="D4" s="3213"/>
      <c r="E4" s="3214" t="s">
        <v>2647</v>
      </c>
      <c r="F4" s="3215"/>
      <c r="G4" s="3212" t="s">
        <v>2648</v>
      </c>
      <c r="H4" s="3213"/>
      <c r="I4" s="3212" t="s">
        <v>2649</v>
      </c>
      <c r="J4" s="3213"/>
      <c r="K4" s="610" t="s">
        <v>2650</v>
      </c>
      <c r="L4" s="1130"/>
      <c r="M4" s="1131"/>
      <c r="N4" s="1131"/>
      <c r="O4" s="1131"/>
      <c r="P4" s="3216" t="s">
        <v>2651</v>
      </c>
      <c r="Q4" s="3217"/>
      <c r="R4" s="3222" t="s">
        <v>2647</v>
      </c>
      <c r="S4" s="3223"/>
      <c r="T4" s="3222" t="s">
        <v>2648</v>
      </c>
      <c r="U4" s="3223"/>
      <c r="V4" s="3228" t="s">
        <v>2649</v>
      </c>
      <c r="W4" s="3228"/>
      <c r="X4" s="1805"/>
      <c r="Y4" s="3222" t="s">
        <v>2651</v>
      </c>
      <c r="Z4" s="3223"/>
      <c r="AA4" s="3209" t="s">
        <v>2647</v>
      </c>
      <c r="AB4" s="3210" t="s">
        <v>2648</v>
      </c>
      <c r="AC4" s="3209" t="s">
        <v>2649</v>
      </c>
    </row>
    <row r="5" spans="1:29" ht="15">
      <c r="A5" s="404"/>
      <c r="B5" s="405"/>
      <c r="C5" s="3231" t="s">
        <v>2542</v>
      </c>
      <c r="D5" s="3232"/>
      <c r="E5" s="3238" t="s">
        <v>2543</v>
      </c>
      <c r="F5" s="3239"/>
      <c r="G5" s="3231" t="s">
        <v>2544</v>
      </c>
      <c r="H5" s="3232"/>
      <c r="I5" s="3231" t="s">
        <v>2545</v>
      </c>
      <c r="J5" s="3232"/>
      <c r="K5" s="610"/>
      <c r="L5" s="1130"/>
      <c r="M5" s="1131"/>
      <c r="N5" s="1131"/>
      <c r="O5" s="1131"/>
      <c r="P5" s="3218"/>
      <c r="Q5" s="3219"/>
      <c r="R5" s="3224"/>
      <c r="S5" s="3225"/>
      <c r="T5" s="3224"/>
      <c r="U5" s="3225"/>
      <c r="V5" s="3228"/>
      <c r="W5" s="3228"/>
      <c r="X5" s="1805"/>
      <c r="Y5" s="3224"/>
      <c r="Z5" s="3225"/>
      <c r="AA5" s="3210"/>
      <c r="AB5" s="3210"/>
      <c r="AC5" s="3210"/>
    </row>
    <row r="6" spans="1:29" ht="15.75" thickBot="1">
      <c r="A6" s="406"/>
      <c r="B6" s="407"/>
      <c r="C6" s="3229" t="s">
        <v>2546</v>
      </c>
      <c r="D6" s="3230"/>
      <c r="E6" s="3236" t="s">
        <v>2546</v>
      </c>
      <c r="F6" s="3237"/>
      <c r="G6" s="3229" t="s">
        <v>2546</v>
      </c>
      <c r="H6" s="3230"/>
      <c r="I6" s="3229" t="s">
        <v>2546</v>
      </c>
      <c r="J6" s="3230"/>
      <c r="K6" s="610" t="s">
        <v>2547</v>
      </c>
      <c r="L6" s="1130"/>
      <c r="M6" s="1131"/>
      <c r="N6" s="1131"/>
      <c r="O6" s="1131"/>
      <c r="P6" s="3220"/>
      <c r="Q6" s="3221"/>
      <c r="R6" s="3224"/>
      <c r="S6" s="3225"/>
      <c r="T6" s="3226"/>
      <c r="U6" s="3227"/>
      <c r="V6" s="3228"/>
      <c r="W6" s="3228"/>
      <c r="X6" s="1805"/>
      <c r="Y6" s="3226"/>
      <c r="Z6" s="3227"/>
      <c r="AA6" s="3211"/>
      <c r="AB6" s="3211"/>
      <c r="AC6" s="3211"/>
    </row>
    <row r="7" spans="1:29" s="117" customFormat="1" ht="15.75" thickBot="1">
      <c r="A7" s="408" t="s">
        <v>2548</v>
      </c>
      <c r="B7" s="409"/>
      <c r="C7" s="410">
        <f>'数据-取费表'!B2</f>
        <v>44019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3" t="s">
        <v>2549</v>
      </c>
      <c r="Q7" s="3235"/>
      <c r="R7" s="770" t="s">
        <v>17</v>
      </c>
      <c r="S7" s="771">
        <f t="shared" ref="S7:S15" si="0">F7</f>
        <v>0</v>
      </c>
      <c r="T7" s="770" t="s">
        <v>17</v>
      </c>
      <c r="U7" s="771">
        <f t="shared" ref="U7:U15" si="1">H7</f>
        <v>0</v>
      </c>
      <c r="V7" s="770" t="s">
        <v>17</v>
      </c>
      <c r="W7" s="771">
        <f t="shared" ref="W7:W15" si="2">J7</f>
        <v>0</v>
      </c>
      <c r="X7" s="772"/>
      <c r="Y7" s="3233" t="s">
        <v>2549</v>
      </c>
      <c r="Z7" s="3234"/>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3" t="s">
        <v>2552</v>
      </c>
      <c r="Q8" s="3234"/>
      <c r="R8" s="770" t="s">
        <v>17</v>
      </c>
      <c r="S8" s="771">
        <f t="shared" si="0"/>
        <v>0</v>
      </c>
      <c r="T8" s="770" t="s">
        <v>17</v>
      </c>
      <c r="U8" s="771">
        <f t="shared" si="1"/>
        <v>0</v>
      </c>
      <c r="V8" s="770" t="s">
        <v>17</v>
      </c>
      <c r="W8" s="771">
        <f t="shared" si="2"/>
        <v>0</v>
      </c>
      <c r="X8" s="772"/>
      <c r="Y8" s="3233" t="s">
        <v>2552</v>
      </c>
      <c r="Z8" s="3234"/>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7" t="s">
        <v>2555</v>
      </c>
      <c r="Q9" s="1787"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7"/>
      <c r="Q10" s="178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7"/>
      <c r="Q11" s="178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197"/>
      <c r="Q12" s="178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197"/>
      <c r="Q13" s="178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197"/>
      <c r="Q14" s="178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2559</v>
      </c>
      <c r="B15" s="69" t="s">
        <v>2703</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9" t="s">
        <v>2560</v>
      </c>
      <c r="Q15" s="1802" t="str">
        <f t="shared" si="6"/>
        <v>产业集聚程度</v>
      </c>
      <c r="R15" s="774" t="s">
        <v>17</v>
      </c>
      <c r="S15" s="775">
        <f t="shared" si="0"/>
        <v>100</v>
      </c>
      <c r="T15" s="774" t="s">
        <v>17</v>
      </c>
      <c r="U15" s="775">
        <f t="shared" si="1"/>
        <v>100</v>
      </c>
      <c r="V15" s="774" t="s">
        <v>17</v>
      </c>
      <c r="W15" s="775">
        <f t="shared" si="2"/>
        <v>100</v>
      </c>
      <c r="X15" s="1805"/>
      <c r="Y15" s="3199" t="s">
        <v>2560</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00"/>
      <c r="Q16" s="1802"/>
      <c r="R16" s="774"/>
      <c r="S16" s="775"/>
      <c r="T16" s="774"/>
      <c r="U16" s="775"/>
      <c r="V16" s="774"/>
      <c r="W16" s="775"/>
      <c r="X16" s="1805"/>
      <c r="Y16" s="3200"/>
      <c r="Z16" s="1806"/>
      <c r="AA16" s="1803">
        <v>1</v>
      </c>
      <c r="AB16" s="1803">
        <v>1</v>
      </c>
      <c r="AC16" s="1803">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0"/>
      <c r="Q17" s="1802" t="str">
        <f>B17</f>
        <v>交通便捷度</v>
      </c>
      <c r="R17" s="774" t="s">
        <v>17</v>
      </c>
      <c r="S17" s="775">
        <f>F17</f>
        <v>100</v>
      </c>
      <c r="T17" s="774" t="s">
        <v>17</v>
      </c>
      <c r="U17" s="775">
        <f>H17</f>
        <v>100</v>
      </c>
      <c r="V17" s="774" t="s">
        <v>17</v>
      </c>
      <c r="W17" s="775">
        <f>J17</f>
        <v>100</v>
      </c>
      <c r="X17" s="1805"/>
      <c r="Y17" s="3200"/>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200"/>
      <c r="Q18" s="1802"/>
      <c r="R18" s="774"/>
      <c r="S18" s="775"/>
      <c r="T18" s="774"/>
      <c r="U18" s="775"/>
      <c r="V18" s="774"/>
      <c r="W18" s="775"/>
      <c r="X18" s="1805"/>
      <c r="Y18" s="3200"/>
      <c r="Z18" s="1806"/>
      <c r="AA18" s="1803">
        <v>1</v>
      </c>
      <c r="AB18" s="1803">
        <v>1</v>
      </c>
      <c r="AC18" s="1803">
        <v>1</v>
      </c>
    </row>
    <row r="19" spans="1:29" ht="42.75">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0"/>
      <c r="Q19" s="1802" t="str">
        <f>B19</f>
        <v>公共配套设施</v>
      </c>
      <c r="R19" s="774" t="s">
        <v>17</v>
      </c>
      <c r="S19" s="775">
        <f>F19</f>
        <v>100</v>
      </c>
      <c r="T19" s="774" t="s">
        <v>17</v>
      </c>
      <c r="U19" s="775">
        <f>H19</f>
        <v>100</v>
      </c>
      <c r="V19" s="774" t="s">
        <v>17</v>
      </c>
      <c r="W19" s="775">
        <f>J19</f>
        <v>100</v>
      </c>
      <c r="X19" s="1805"/>
      <c r="Y19" s="3200"/>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200"/>
      <c r="Q20" s="1802"/>
      <c r="R20" s="774"/>
      <c r="S20" s="775"/>
      <c r="T20" s="774"/>
      <c r="U20" s="775"/>
      <c r="V20" s="774"/>
      <c r="W20" s="775"/>
      <c r="X20" s="1805"/>
      <c r="Y20" s="3200"/>
      <c r="Z20" s="1806"/>
      <c r="AA20" s="1803">
        <v>1</v>
      </c>
      <c r="AB20" s="1803">
        <v>1</v>
      </c>
      <c r="AC20" s="1803">
        <v>1</v>
      </c>
    </row>
    <row r="21" spans="1:29" ht="28.5">
      <c r="A21" s="428"/>
      <c r="B21" s="1384"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0"/>
      <c r="Q21" s="1802" t="str">
        <f>B21</f>
        <v>基础设施水平</v>
      </c>
      <c r="R21" s="774" t="s">
        <v>17</v>
      </c>
      <c r="S21" s="775">
        <f>F21</f>
        <v>100</v>
      </c>
      <c r="T21" s="774" t="s">
        <v>17</v>
      </c>
      <c r="U21" s="775">
        <f>H21</f>
        <v>100</v>
      </c>
      <c r="V21" s="774" t="s">
        <v>17</v>
      </c>
      <c r="W21" s="775">
        <f>J21</f>
        <v>100</v>
      </c>
      <c r="X21" s="1805"/>
      <c r="Y21" s="3200"/>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200"/>
      <c r="Q22" s="1802"/>
      <c r="R22" s="774"/>
      <c r="S22" s="775"/>
      <c r="T22" s="774"/>
      <c r="U22" s="775"/>
      <c r="V22" s="774"/>
      <c r="W22" s="775"/>
      <c r="X22" s="1805"/>
      <c r="Y22" s="3200"/>
      <c r="Z22" s="1806"/>
      <c r="AA22" s="1803">
        <v>1</v>
      </c>
      <c r="AB22" s="1803">
        <v>1</v>
      </c>
      <c r="AC22" s="1803">
        <v>1</v>
      </c>
    </row>
    <row r="23" spans="1:29" ht="71.25">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0"/>
      <c r="Q23" s="1802" t="str">
        <f>B23</f>
        <v>环境质量</v>
      </c>
      <c r="R23" s="774" t="s">
        <v>17</v>
      </c>
      <c r="S23" s="775">
        <f>F23</f>
        <v>100</v>
      </c>
      <c r="T23" s="774" t="s">
        <v>17</v>
      </c>
      <c r="U23" s="775">
        <f>H23</f>
        <v>100</v>
      </c>
      <c r="V23" s="774" t="s">
        <v>17</v>
      </c>
      <c r="W23" s="775">
        <f>J23</f>
        <v>100</v>
      </c>
      <c r="X23" s="1805"/>
      <c r="Y23" s="3200"/>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200"/>
      <c r="Q24" s="1802"/>
      <c r="R24" s="774"/>
      <c r="S24" s="775"/>
      <c r="T24" s="774"/>
      <c r="U24" s="775"/>
      <c r="V24" s="774"/>
      <c r="W24" s="775"/>
      <c r="X24" s="1805"/>
      <c r="Y24" s="3200"/>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0"/>
      <c r="Q25" s="1802">
        <f>B25</f>
        <v>111</v>
      </c>
      <c r="R25" s="774" t="s">
        <v>17</v>
      </c>
      <c r="S25" s="775">
        <f>F25</f>
        <v>100</v>
      </c>
      <c r="T25" s="774" t="s">
        <v>17</v>
      </c>
      <c r="U25" s="775">
        <f>H25</f>
        <v>100</v>
      </c>
      <c r="V25" s="774" t="s">
        <v>17</v>
      </c>
      <c r="W25" s="775">
        <f>J25</f>
        <v>100</v>
      </c>
      <c r="X25" s="1805"/>
      <c r="Y25" s="3200"/>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0"/>
      <c r="Q26" s="1802">
        <f t="shared" ref="Q26:Q40" si="11">B26</f>
        <v>111</v>
      </c>
      <c r="R26" s="774" t="s">
        <v>17</v>
      </c>
      <c r="S26" s="775">
        <f>F26</f>
        <v>100</v>
      </c>
      <c r="T26" s="774" t="s">
        <v>17</v>
      </c>
      <c r="U26" s="775">
        <f>H26</f>
        <v>100</v>
      </c>
      <c r="V26" s="774" t="s">
        <v>17</v>
      </c>
      <c r="W26" s="775">
        <f>J26</f>
        <v>100</v>
      </c>
      <c r="X26" s="1805"/>
      <c r="Y26" s="3200"/>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0"/>
      <c r="Q27" s="1787">
        <f t="shared" si="11"/>
        <v>111</v>
      </c>
      <c r="R27" s="770" t="s">
        <v>17</v>
      </c>
      <c r="S27" s="771">
        <f>F27</f>
        <v>100</v>
      </c>
      <c r="T27" s="770" t="s">
        <v>17</v>
      </c>
      <c r="U27" s="771">
        <f>H27</f>
        <v>100</v>
      </c>
      <c r="V27" s="770" t="s">
        <v>17</v>
      </c>
      <c r="W27" s="771">
        <f>J27</f>
        <v>100</v>
      </c>
      <c r="X27" s="772"/>
      <c r="Y27" s="3200"/>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0"/>
      <c r="Q28" s="1802">
        <f t="shared" si="11"/>
        <v>111</v>
      </c>
      <c r="R28" s="774" t="s">
        <v>17</v>
      </c>
      <c r="S28" s="775">
        <f t="shared" ref="S28:S40" si="12">F28</f>
        <v>100</v>
      </c>
      <c r="T28" s="774" t="s">
        <v>17</v>
      </c>
      <c r="U28" s="775">
        <f t="shared" ref="U28:U40" si="13">H28</f>
        <v>100</v>
      </c>
      <c r="V28" s="774" t="s">
        <v>17</v>
      </c>
      <c r="W28" s="775">
        <f t="shared" ref="W28:W40" si="14">J28</f>
        <v>100</v>
      </c>
      <c r="X28" s="1805"/>
      <c r="Y28" s="3200"/>
      <c r="Z28" s="1806">
        <f t="shared" ref="Z28:Z40" si="15">Q28</f>
        <v>111</v>
      </c>
      <c r="AA28" s="1803">
        <f t="shared" si="3"/>
        <v>1</v>
      </c>
      <c r="AB28" s="1803">
        <f t="shared" si="4"/>
        <v>1</v>
      </c>
      <c r="AC28" s="1803">
        <f t="shared" si="5"/>
        <v>1</v>
      </c>
    </row>
    <row r="29" spans="1:29" ht="28.5">
      <c r="A29" s="466" t="s">
        <v>2563</v>
      </c>
      <c r="B29" s="71" t="s">
        <v>2693</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55" t="s">
        <v>2565</v>
      </c>
      <c r="Q29" s="1802" t="str">
        <f t="shared" si="11"/>
        <v>建筑类型</v>
      </c>
      <c r="R29" s="774" t="s">
        <v>17</v>
      </c>
      <c r="S29" s="775">
        <f t="shared" si="12"/>
        <v>100</v>
      </c>
      <c r="T29" s="774" t="s">
        <v>17</v>
      </c>
      <c r="U29" s="775">
        <f t="shared" si="13"/>
        <v>100</v>
      </c>
      <c r="V29" s="774" t="s">
        <v>17</v>
      </c>
      <c r="W29" s="775">
        <f t="shared" si="14"/>
        <v>100</v>
      </c>
      <c r="X29" s="1805"/>
      <c r="Y29" s="3204" t="s">
        <v>2565</v>
      </c>
      <c r="Z29" s="1806" t="str">
        <f t="shared" si="15"/>
        <v>建筑类型</v>
      </c>
      <c r="AA29" s="1803">
        <f t="shared" si="3"/>
        <v>1</v>
      </c>
      <c r="AB29" s="1803">
        <f t="shared" si="4"/>
        <v>1</v>
      </c>
      <c r="AC29" s="180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4"/>
      <c r="Q30" s="776" t="str">
        <f t="shared" si="11"/>
        <v>项目建筑规模</v>
      </c>
      <c r="R30" s="777" t="s">
        <v>17</v>
      </c>
      <c r="S30" s="778" t="e">
        <f t="shared" si="12"/>
        <v>#N/A</v>
      </c>
      <c r="T30" s="777" t="s">
        <v>17</v>
      </c>
      <c r="U30" s="778" t="e">
        <f t="shared" si="13"/>
        <v>#N/A</v>
      </c>
      <c r="V30" s="777" t="s">
        <v>17</v>
      </c>
      <c r="W30" s="778" t="e">
        <f t="shared" si="14"/>
        <v>#N/A</v>
      </c>
      <c r="X30" s="779"/>
      <c r="Y30" s="3204"/>
      <c r="Z30" s="780" t="str">
        <f t="shared" si="15"/>
        <v>项目建筑规模</v>
      </c>
      <c r="AA30" s="1803" t="e">
        <f t="shared" si="3"/>
        <v>#N/A</v>
      </c>
      <c r="AB30" s="1803" t="e">
        <f t="shared" si="4"/>
        <v>#N/A</v>
      </c>
      <c r="AC30" s="180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4"/>
      <c r="Q31" s="1802" t="str">
        <f t="shared" si="11"/>
        <v>建筑结构</v>
      </c>
      <c r="R31" s="774" t="s">
        <v>17</v>
      </c>
      <c r="S31" s="775">
        <f t="shared" si="12"/>
        <v>100</v>
      </c>
      <c r="T31" s="774" t="s">
        <v>17</v>
      </c>
      <c r="U31" s="775">
        <f t="shared" si="13"/>
        <v>100</v>
      </c>
      <c r="V31" s="774" t="s">
        <v>17</v>
      </c>
      <c r="W31" s="775">
        <f t="shared" si="14"/>
        <v>100</v>
      </c>
      <c r="X31" s="1805"/>
      <c r="Y31" s="3204"/>
      <c r="Z31" s="1806" t="str">
        <f t="shared" si="15"/>
        <v>建筑结构</v>
      </c>
      <c r="AA31" s="1803">
        <f t="shared" si="3"/>
        <v>1</v>
      </c>
      <c r="AB31" s="1803">
        <f t="shared" si="4"/>
        <v>1</v>
      </c>
      <c r="AC31" s="180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4"/>
      <c r="Q32" s="1802" t="str">
        <f t="shared" si="11"/>
        <v>公共部分装修</v>
      </c>
      <c r="R32" s="774" t="s">
        <v>17</v>
      </c>
      <c r="S32" s="775">
        <f t="shared" si="12"/>
        <v>100</v>
      </c>
      <c r="T32" s="774" t="s">
        <v>17</v>
      </c>
      <c r="U32" s="775">
        <f t="shared" si="13"/>
        <v>100</v>
      </c>
      <c r="V32" s="774" t="s">
        <v>17</v>
      </c>
      <c r="W32" s="775">
        <f t="shared" si="14"/>
        <v>100</v>
      </c>
      <c r="X32" s="1805"/>
      <c r="Y32" s="3204"/>
      <c r="Z32" s="1806" t="str">
        <f t="shared" si="15"/>
        <v>公共部分装修</v>
      </c>
      <c r="AA32" s="1803">
        <f t="shared" si="3"/>
        <v>1</v>
      </c>
      <c r="AB32" s="1803">
        <f t="shared" si="4"/>
        <v>1</v>
      </c>
      <c r="AC32" s="180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4"/>
      <c r="Q33" s="1802" t="str">
        <f t="shared" si="11"/>
        <v>成新度</v>
      </c>
      <c r="R33" s="774" t="s">
        <v>17</v>
      </c>
      <c r="S33" s="775" t="e">
        <f t="shared" si="12"/>
        <v>#N/A</v>
      </c>
      <c r="T33" s="774" t="s">
        <v>17</v>
      </c>
      <c r="U33" s="775" t="e">
        <f t="shared" si="13"/>
        <v>#N/A</v>
      </c>
      <c r="V33" s="774" t="s">
        <v>17</v>
      </c>
      <c r="W33" s="775" t="e">
        <f t="shared" si="14"/>
        <v>#N/A</v>
      </c>
      <c r="X33" s="1805"/>
      <c r="Y33" s="3204"/>
      <c r="Z33" s="1806" t="str">
        <f t="shared" si="15"/>
        <v>成新度</v>
      </c>
      <c r="AA33" s="1803" t="e">
        <f t="shared" si="3"/>
        <v>#N/A</v>
      </c>
      <c r="AB33" s="1803" t="e">
        <f t="shared" si="4"/>
        <v>#N/A</v>
      </c>
      <c r="AC33" s="180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4"/>
      <c r="Q34" s="1787"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4" t="s">
        <v>2565</v>
      </c>
      <c r="Q35" s="1802" t="str">
        <f t="shared" si="11"/>
        <v>市政基础设施</v>
      </c>
      <c r="R35" s="774" t="s">
        <v>17</v>
      </c>
      <c r="S35" s="775">
        <f t="shared" si="12"/>
        <v>100</v>
      </c>
      <c r="T35" s="774" t="s">
        <v>17</v>
      </c>
      <c r="U35" s="775">
        <f t="shared" si="13"/>
        <v>100</v>
      </c>
      <c r="V35" s="774" t="s">
        <v>17</v>
      </c>
      <c r="W35" s="775">
        <f t="shared" si="14"/>
        <v>100</v>
      </c>
      <c r="X35" s="1805"/>
      <c r="Y35" s="3204" t="s">
        <v>2565</v>
      </c>
      <c r="Z35" s="1806" t="str">
        <f t="shared" si="15"/>
        <v>市政基础设施</v>
      </c>
      <c r="AA35" s="1803">
        <f t="shared" si="3"/>
        <v>1</v>
      </c>
      <c r="AB35" s="1803">
        <f t="shared" si="4"/>
        <v>1</v>
      </c>
      <c r="AC35" s="180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4"/>
      <c r="Q36" s="1802" t="str">
        <f t="shared" si="11"/>
        <v>内部装修</v>
      </c>
      <c r="R36" s="774" t="s">
        <v>17</v>
      </c>
      <c r="S36" s="775">
        <f t="shared" si="12"/>
        <v>100</v>
      </c>
      <c r="T36" s="774" t="s">
        <v>17</v>
      </c>
      <c r="U36" s="775">
        <f t="shared" si="13"/>
        <v>100</v>
      </c>
      <c r="V36" s="774" t="s">
        <v>17</v>
      </c>
      <c r="W36" s="775">
        <f t="shared" si="14"/>
        <v>100</v>
      </c>
      <c r="X36" s="1805"/>
      <c r="Y36" s="3204"/>
      <c r="Z36" s="1806" t="str">
        <f t="shared" si="15"/>
        <v>内部装修</v>
      </c>
      <c r="AA36" s="1803">
        <f t="shared" si="3"/>
        <v>1</v>
      </c>
      <c r="AB36" s="1803">
        <f t="shared" si="4"/>
        <v>1</v>
      </c>
      <c r="AC36" s="180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4"/>
      <c r="Q37" s="1802" t="str">
        <f t="shared" si="11"/>
        <v>内部装修状况</v>
      </c>
      <c r="R37" s="774" t="s">
        <v>17</v>
      </c>
      <c r="S37" s="775">
        <f t="shared" si="12"/>
        <v>100</v>
      </c>
      <c r="T37" s="774" t="s">
        <v>17</v>
      </c>
      <c r="U37" s="775">
        <f t="shared" si="13"/>
        <v>100</v>
      </c>
      <c r="V37" s="774" t="s">
        <v>17</v>
      </c>
      <c r="W37" s="775">
        <f t="shared" si="14"/>
        <v>100</v>
      </c>
      <c r="X37" s="1805"/>
      <c r="Y37" s="3204"/>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4"/>
      <c r="Q39" s="1802">
        <f t="shared" si="11"/>
        <v>111</v>
      </c>
      <c r="R39" s="774" t="s">
        <v>17</v>
      </c>
      <c r="S39" s="775">
        <f t="shared" si="12"/>
        <v>100</v>
      </c>
      <c r="T39" s="774" t="s">
        <v>17</v>
      </c>
      <c r="U39" s="775">
        <f t="shared" si="13"/>
        <v>100</v>
      </c>
      <c r="V39" s="774" t="s">
        <v>17</v>
      </c>
      <c r="W39" s="775">
        <f t="shared" si="14"/>
        <v>100</v>
      </c>
      <c r="X39" s="1805"/>
      <c r="Y39" s="3204"/>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5"/>
      <c r="Q40" s="1802">
        <f t="shared" si="11"/>
        <v>111</v>
      </c>
      <c r="R40" s="774" t="s">
        <v>17</v>
      </c>
      <c r="S40" s="775">
        <f t="shared" si="12"/>
        <v>100</v>
      </c>
      <c r="T40" s="774" t="s">
        <v>17</v>
      </c>
      <c r="U40" s="775">
        <f t="shared" si="13"/>
        <v>100</v>
      </c>
      <c r="V40" s="774" t="s">
        <v>17</v>
      </c>
      <c r="W40" s="775">
        <f t="shared" si="14"/>
        <v>100</v>
      </c>
      <c r="X40" s="1805"/>
      <c r="Y40" s="3205"/>
      <c r="Z40" s="1806">
        <f t="shared" si="15"/>
        <v>111</v>
      </c>
      <c r="AA40" s="1803">
        <f t="shared" si="3"/>
        <v>1</v>
      </c>
      <c r="AB40" s="1803">
        <f t="shared" si="4"/>
        <v>1</v>
      </c>
      <c r="AC40" s="1803">
        <f t="shared" si="5"/>
        <v>1</v>
      </c>
    </row>
    <row r="41" spans="1:29" ht="15">
      <c r="A41" s="479" t="s">
        <v>2577</v>
      </c>
      <c r="B41" s="480"/>
      <c r="C41" s="1407" t="s">
        <v>1</v>
      </c>
      <c r="D41" s="1408"/>
      <c r="E41" s="1409"/>
      <c r="F41" s="1410"/>
      <c r="G41" s="1411"/>
      <c r="H41" s="1412"/>
      <c r="I41" s="1409"/>
      <c r="J41" s="1412"/>
      <c r="K41" s="783"/>
      <c r="L41" s="1143"/>
      <c r="M41" s="1144"/>
      <c r="N41" s="1131"/>
      <c r="O41" s="1144"/>
      <c r="P41" s="3197" t="str">
        <f>A41</f>
        <v>成交单价（元/平方米）</v>
      </c>
      <c r="Q41" s="3197"/>
      <c r="R41" s="3198">
        <f>E41</f>
        <v>0</v>
      </c>
      <c r="S41" s="3198"/>
      <c r="T41" s="3198">
        <f>G41</f>
        <v>0</v>
      </c>
      <c r="U41" s="3198"/>
      <c r="V41" s="3198">
        <f>I41</f>
        <v>0</v>
      </c>
      <c r="W41" s="3198"/>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94" t="str">
        <f>A43</f>
        <v>估价对象XX用房的比较价值（楼面单价，元/平方米）</v>
      </c>
      <c r="Q43" s="3195"/>
      <c r="R43" s="3196" t="e">
        <f>IF(F1="售价",ROUND(AVERAGE(R42:V42),0),ROUND(AVERAGE(R42:V42),1))</f>
        <v>#DIV/0!</v>
      </c>
      <c r="S43" s="3196"/>
      <c r="T43" s="3196"/>
      <c r="U43" s="3196"/>
      <c r="V43" s="3196"/>
      <c r="W43" s="319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受贵公司委托，我公司对北京市出让国有建设用地使用权及在建建筑物房地产抵押价值进行了预评估。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估价对象为北京市出让国有建设用地使用权及在建建筑物房地产，为所有。根据《国有土地使用证》[]，估价对象（分摊）出让国有建设用地使用权面积为0平方米，建筑面积为7400平方米。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7400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2020年7月7日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9" t="str">
        <f>IF(项目基本情况!B9="房地产市场价值","——",IF(项目基本情况!E8="房地产抵押价值",定义!C54,IF(项目基本情况!E8="已注销",定义!C55,定义!C56)))</f>
        <v>——</v>
      </c>
    </row>
    <row r="21" spans="1:1" ht="18">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7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12" t="s">
        <v>2646</v>
      </c>
      <c r="D4" s="3213"/>
      <c r="E4" s="3214" t="s">
        <v>2647</v>
      </c>
      <c r="F4" s="3215"/>
      <c r="G4" s="3212" t="s">
        <v>2648</v>
      </c>
      <c r="H4" s="3213"/>
      <c r="I4" s="3212" t="s">
        <v>2649</v>
      </c>
      <c r="J4" s="3213"/>
      <c r="K4" s="610" t="s">
        <v>2650</v>
      </c>
      <c r="L4" s="1130"/>
      <c r="M4" s="1131"/>
      <c r="N4" s="1131"/>
      <c r="O4" s="1131"/>
      <c r="P4" s="3216" t="s">
        <v>2651</v>
      </c>
      <c r="Q4" s="3217"/>
      <c r="R4" s="3222" t="s">
        <v>2647</v>
      </c>
      <c r="S4" s="3223"/>
      <c r="T4" s="3222" t="s">
        <v>2648</v>
      </c>
      <c r="U4" s="3223"/>
      <c r="V4" s="3228" t="s">
        <v>2649</v>
      </c>
      <c r="W4" s="3228"/>
      <c r="X4" s="1805"/>
      <c r="Y4" s="3222" t="s">
        <v>2651</v>
      </c>
      <c r="Z4" s="3223"/>
      <c r="AA4" s="3209" t="s">
        <v>2647</v>
      </c>
      <c r="AB4" s="3210" t="s">
        <v>2648</v>
      </c>
      <c r="AC4" s="3209" t="s">
        <v>2649</v>
      </c>
    </row>
    <row r="5" spans="1:29" ht="15">
      <c r="A5" s="404"/>
      <c r="B5" s="405"/>
      <c r="C5" s="3231" t="s">
        <v>2542</v>
      </c>
      <c r="D5" s="3232"/>
      <c r="E5" s="3238" t="s">
        <v>2543</v>
      </c>
      <c r="F5" s="3239"/>
      <c r="G5" s="3231" t="s">
        <v>2544</v>
      </c>
      <c r="H5" s="3232"/>
      <c r="I5" s="3231" t="s">
        <v>2545</v>
      </c>
      <c r="J5" s="3232"/>
      <c r="K5" s="610"/>
      <c r="L5" s="1130"/>
      <c r="M5" s="1131"/>
      <c r="N5" s="1131"/>
      <c r="O5" s="1131"/>
      <c r="P5" s="3218"/>
      <c r="Q5" s="3219"/>
      <c r="R5" s="3224"/>
      <c r="S5" s="3225"/>
      <c r="T5" s="3224"/>
      <c r="U5" s="3225"/>
      <c r="V5" s="3228"/>
      <c r="W5" s="3228"/>
      <c r="X5" s="1805"/>
      <c r="Y5" s="3224"/>
      <c r="Z5" s="3225"/>
      <c r="AA5" s="3210"/>
      <c r="AB5" s="3210"/>
      <c r="AC5" s="3210"/>
    </row>
    <row r="6" spans="1:29" ht="15.75" thickBot="1">
      <c r="A6" s="406"/>
      <c r="B6" s="407"/>
      <c r="C6" s="3229" t="s">
        <v>2546</v>
      </c>
      <c r="D6" s="3230"/>
      <c r="E6" s="3236" t="s">
        <v>2546</v>
      </c>
      <c r="F6" s="3237"/>
      <c r="G6" s="3229" t="s">
        <v>2546</v>
      </c>
      <c r="H6" s="3230"/>
      <c r="I6" s="3229" t="s">
        <v>2546</v>
      </c>
      <c r="J6" s="3230"/>
      <c r="K6" s="610" t="s">
        <v>2547</v>
      </c>
      <c r="L6" s="1130"/>
      <c r="M6" s="1131"/>
      <c r="N6" s="1131"/>
      <c r="O6" s="1131"/>
      <c r="P6" s="3220"/>
      <c r="Q6" s="3221"/>
      <c r="R6" s="3224"/>
      <c r="S6" s="3225"/>
      <c r="T6" s="3226"/>
      <c r="U6" s="3227"/>
      <c r="V6" s="3228"/>
      <c r="W6" s="3228"/>
      <c r="X6" s="1805"/>
      <c r="Y6" s="3226"/>
      <c r="Z6" s="3227"/>
      <c r="AA6" s="3211"/>
      <c r="AB6" s="3211"/>
      <c r="AC6" s="3211"/>
    </row>
    <row r="7" spans="1:29" s="117" customFormat="1" ht="15.75" thickBot="1">
      <c r="A7" s="408" t="s">
        <v>2548</v>
      </c>
      <c r="B7" s="409"/>
      <c r="C7" s="410">
        <f>'数据-取费表'!B2</f>
        <v>44019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3" t="s">
        <v>2549</v>
      </c>
      <c r="Q7" s="3235"/>
      <c r="R7" s="770" t="s">
        <v>17</v>
      </c>
      <c r="S7" s="771">
        <f t="shared" ref="S7:S14" si="0">F7</f>
        <v>0</v>
      </c>
      <c r="T7" s="770" t="s">
        <v>17</v>
      </c>
      <c r="U7" s="771">
        <f t="shared" ref="U7:U14" si="1">H7</f>
        <v>0</v>
      </c>
      <c r="V7" s="770" t="s">
        <v>17</v>
      </c>
      <c r="W7" s="771">
        <f t="shared" ref="W7:W14" si="2">J7</f>
        <v>0</v>
      </c>
      <c r="X7" s="772"/>
      <c r="Y7" s="3233" t="s">
        <v>2549</v>
      </c>
      <c r="Z7" s="3234"/>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3" t="s">
        <v>2552</v>
      </c>
      <c r="Q8" s="3234"/>
      <c r="R8" s="770" t="s">
        <v>17</v>
      </c>
      <c r="S8" s="771">
        <f t="shared" si="0"/>
        <v>0</v>
      </c>
      <c r="T8" s="770" t="s">
        <v>17</v>
      </c>
      <c r="U8" s="771">
        <f t="shared" si="1"/>
        <v>0</v>
      </c>
      <c r="V8" s="770" t="s">
        <v>17</v>
      </c>
      <c r="W8" s="771">
        <f t="shared" si="2"/>
        <v>0</v>
      </c>
      <c r="X8" s="772"/>
      <c r="Y8" s="3233" t="s">
        <v>2552</v>
      </c>
      <c r="Z8" s="3234"/>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7" t="s">
        <v>2555</v>
      </c>
      <c r="Q9" s="1787" t="str">
        <f t="shared" ref="Q9:Q14" si="6">B9</f>
        <v>用途</v>
      </c>
      <c r="R9" s="770" t="s">
        <v>17</v>
      </c>
      <c r="S9" s="771">
        <f t="shared" si="0"/>
        <v>100</v>
      </c>
      <c r="T9" s="770" t="s">
        <v>17</v>
      </c>
      <c r="U9" s="771">
        <f t="shared" si="1"/>
        <v>100</v>
      </c>
      <c r="V9" s="770" t="s">
        <v>17</v>
      </c>
      <c r="W9" s="771">
        <f t="shared" si="2"/>
        <v>100</v>
      </c>
      <c r="X9" s="772"/>
      <c r="Y9" s="3020"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7"/>
      <c r="Q10" s="178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7"/>
      <c r="Q11" s="178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7"/>
      <c r="Q12" s="178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7"/>
      <c r="Q13" s="178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2559</v>
      </c>
      <c r="B14" s="629" t="s">
        <v>2709</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9" t="s">
        <v>2560</v>
      </c>
      <c r="Q14" s="1802" t="str">
        <f t="shared" si="6"/>
        <v>交通便捷度</v>
      </c>
      <c r="R14" s="774" t="s">
        <v>17</v>
      </c>
      <c r="S14" s="775">
        <f t="shared" si="0"/>
        <v>100</v>
      </c>
      <c r="T14" s="774" t="s">
        <v>17</v>
      </c>
      <c r="U14" s="775">
        <f t="shared" si="1"/>
        <v>100</v>
      </c>
      <c r="V14" s="774" t="s">
        <v>17</v>
      </c>
      <c r="W14" s="775">
        <f t="shared" si="2"/>
        <v>100</v>
      </c>
      <c r="X14" s="1805"/>
      <c r="Y14" s="3199" t="s">
        <v>2560</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00"/>
      <c r="Q15" s="1802"/>
      <c r="R15" s="774"/>
      <c r="S15" s="775"/>
      <c r="T15" s="774"/>
      <c r="U15" s="775"/>
      <c r="V15" s="774"/>
      <c r="W15" s="775"/>
      <c r="X15" s="1805"/>
      <c r="Y15" s="3200"/>
      <c r="Z15" s="1806"/>
      <c r="AA15" s="1803">
        <v>1</v>
      </c>
      <c r="AB15" s="1803">
        <v>1</v>
      </c>
      <c r="AC15" s="1803">
        <v>1</v>
      </c>
    </row>
    <row r="16" spans="1:29" ht="42.75">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0"/>
      <c r="Q16" s="1802" t="str">
        <f>B16</f>
        <v>公共配套设施</v>
      </c>
      <c r="R16" s="774" t="s">
        <v>17</v>
      </c>
      <c r="S16" s="775">
        <f>F16</f>
        <v>100</v>
      </c>
      <c r="T16" s="774" t="s">
        <v>17</v>
      </c>
      <c r="U16" s="775">
        <f>H16</f>
        <v>100</v>
      </c>
      <c r="V16" s="774" t="s">
        <v>17</v>
      </c>
      <c r="W16" s="775">
        <f>J16</f>
        <v>100</v>
      </c>
      <c r="X16" s="1805"/>
      <c r="Y16" s="3200"/>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200"/>
      <c r="Q17" s="1802"/>
      <c r="R17" s="774"/>
      <c r="S17" s="775"/>
      <c r="T17" s="774"/>
      <c r="U17" s="775"/>
      <c r="V17" s="774"/>
      <c r="W17" s="775"/>
      <c r="X17" s="1805"/>
      <c r="Y17" s="3200"/>
      <c r="Z17" s="1806"/>
      <c r="AA17" s="1803">
        <v>1</v>
      </c>
      <c r="AB17" s="1803">
        <v>1</v>
      </c>
      <c r="AC17" s="1803">
        <v>1</v>
      </c>
    </row>
    <row r="18" spans="1:29" ht="28.5">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0"/>
      <c r="Q18" s="1802" t="str">
        <f>B18</f>
        <v>基础设施水平</v>
      </c>
      <c r="R18" s="774" t="s">
        <v>17</v>
      </c>
      <c r="S18" s="775">
        <f>F18</f>
        <v>100</v>
      </c>
      <c r="T18" s="774" t="s">
        <v>17</v>
      </c>
      <c r="U18" s="775">
        <f>H18</f>
        <v>100</v>
      </c>
      <c r="V18" s="774" t="s">
        <v>17</v>
      </c>
      <c r="W18" s="775">
        <f>J18</f>
        <v>100</v>
      </c>
      <c r="X18" s="1805"/>
      <c r="Y18" s="3200"/>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200"/>
      <c r="Q19" s="1802"/>
      <c r="R19" s="774"/>
      <c r="S19" s="775"/>
      <c r="T19" s="774"/>
      <c r="U19" s="775"/>
      <c r="V19" s="774"/>
      <c r="W19" s="775"/>
      <c r="X19" s="1805"/>
      <c r="Y19" s="3200"/>
      <c r="Z19" s="1806"/>
      <c r="AA19" s="1803">
        <v>1</v>
      </c>
      <c r="AB19" s="1803">
        <v>1</v>
      </c>
      <c r="AC19" s="1803">
        <v>1</v>
      </c>
    </row>
    <row r="20" spans="1:29" ht="57">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0"/>
      <c r="Q20" s="1802" t="str">
        <f>B20</f>
        <v>自然及人文环境</v>
      </c>
      <c r="R20" s="774" t="s">
        <v>17</v>
      </c>
      <c r="S20" s="775">
        <f>F20</f>
        <v>100</v>
      </c>
      <c r="T20" s="774" t="s">
        <v>17</v>
      </c>
      <c r="U20" s="775">
        <f>H20</f>
        <v>100</v>
      </c>
      <c r="V20" s="774" t="s">
        <v>17</v>
      </c>
      <c r="W20" s="775">
        <f>J20</f>
        <v>100</v>
      </c>
      <c r="X20" s="1805"/>
      <c r="Y20" s="3200"/>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00"/>
      <c r="Q21" s="1802"/>
      <c r="R21" s="774"/>
      <c r="S21" s="775"/>
      <c r="T21" s="774"/>
      <c r="U21" s="775"/>
      <c r="V21" s="774"/>
      <c r="W21" s="775"/>
      <c r="X21" s="1805"/>
      <c r="Y21" s="3200"/>
      <c r="Z21" s="1806"/>
      <c r="AA21" s="1803">
        <v>1</v>
      </c>
      <c r="AB21" s="1803">
        <v>1</v>
      </c>
      <c r="AC21" s="180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0"/>
      <c r="Q22" s="1802" t="str">
        <f>B22</f>
        <v>楼层</v>
      </c>
      <c r="R22" s="774" t="s">
        <v>17</v>
      </c>
      <c r="S22" s="775">
        <f>F22</f>
        <v>100</v>
      </c>
      <c r="T22" s="774" t="s">
        <v>17</v>
      </c>
      <c r="U22" s="775">
        <f>H22</f>
        <v>100</v>
      </c>
      <c r="V22" s="774" t="s">
        <v>17</v>
      </c>
      <c r="W22" s="775">
        <f>J22</f>
        <v>100</v>
      </c>
      <c r="X22" s="1805"/>
      <c r="Y22" s="3200"/>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0"/>
      <c r="Q23" s="1802">
        <f>B23</f>
        <v>111</v>
      </c>
      <c r="R23" s="774" t="s">
        <v>17</v>
      </c>
      <c r="S23" s="775">
        <f>F23</f>
        <v>100</v>
      </c>
      <c r="T23" s="774" t="s">
        <v>17</v>
      </c>
      <c r="U23" s="775">
        <f>H23</f>
        <v>100</v>
      </c>
      <c r="V23" s="774" t="s">
        <v>17</v>
      </c>
      <c r="W23" s="775">
        <f>J23</f>
        <v>100</v>
      </c>
      <c r="X23" s="1805"/>
      <c r="Y23" s="3200"/>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0"/>
      <c r="Q24" s="1802">
        <f t="shared" ref="Q24:Q36" si="11">B24</f>
        <v>111</v>
      </c>
      <c r="R24" s="774" t="s">
        <v>17</v>
      </c>
      <c r="S24" s="775">
        <f>F24</f>
        <v>100</v>
      </c>
      <c r="T24" s="774" t="s">
        <v>17</v>
      </c>
      <c r="U24" s="775">
        <f>H24</f>
        <v>100</v>
      </c>
      <c r="V24" s="774" t="s">
        <v>17</v>
      </c>
      <c r="W24" s="775">
        <f>J24</f>
        <v>100</v>
      </c>
      <c r="X24" s="1805"/>
      <c r="Y24" s="3200"/>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0"/>
      <c r="Q25" s="1787">
        <f t="shared" si="11"/>
        <v>111</v>
      </c>
      <c r="R25" s="770" t="s">
        <v>17</v>
      </c>
      <c r="S25" s="771">
        <f>F25</f>
        <v>100</v>
      </c>
      <c r="T25" s="770" t="s">
        <v>17</v>
      </c>
      <c r="U25" s="771">
        <f>H25</f>
        <v>100</v>
      </c>
      <c r="V25" s="770" t="s">
        <v>17</v>
      </c>
      <c r="W25" s="771">
        <f>J25</f>
        <v>100</v>
      </c>
      <c r="X25" s="772"/>
      <c r="Y25" s="3200"/>
      <c r="Z25" s="55">
        <f>Q25</f>
        <v>111</v>
      </c>
      <c r="AA25" s="1803">
        <f>D25/F25</f>
        <v>1</v>
      </c>
      <c r="AB25" s="1803">
        <f>D25/H25</f>
        <v>1</v>
      </c>
      <c r="AC25" s="1803">
        <f>D25/J25</f>
        <v>1</v>
      </c>
    </row>
    <row r="26" spans="1:29" ht="28.5">
      <c r="A26" s="652" t="s">
        <v>2563</v>
      </c>
      <c r="B26" s="70" t="s">
        <v>2712</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5" t="s">
        <v>2565</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04" t="s">
        <v>2565</v>
      </c>
      <c r="Z26" s="1806" t="str">
        <f t="shared" ref="Z26:Z36" si="15">Q26</f>
        <v>配套类型</v>
      </c>
      <c r="AA26" s="1803">
        <f t="shared" si="3"/>
        <v>1</v>
      </c>
      <c r="AB26" s="1803">
        <f t="shared" si="4"/>
        <v>1</v>
      </c>
      <c r="AC26" s="180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03">
        <f t="shared" si="3"/>
        <v>1</v>
      </c>
      <c r="AB27" s="1803">
        <f t="shared" si="4"/>
        <v>1</v>
      </c>
      <c r="AC27" s="180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4"/>
      <c r="Q28" s="1802" t="str">
        <f t="shared" si="11"/>
        <v>公共部分装修</v>
      </c>
      <c r="R28" s="774" t="s">
        <v>17</v>
      </c>
      <c r="S28" s="775">
        <f t="shared" si="12"/>
        <v>100</v>
      </c>
      <c r="T28" s="774" t="s">
        <v>17</v>
      </c>
      <c r="U28" s="775">
        <f t="shared" si="13"/>
        <v>100</v>
      </c>
      <c r="V28" s="774" t="s">
        <v>17</v>
      </c>
      <c r="W28" s="775">
        <f t="shared" si="14"/>
        <v>100</v>
      </c>
      <c r="X28" s="1805"/>
      <c r="Y28" s="3204"/>
      <c r="Z28" s="1806" t="str">
        <f t="shared" si="15"/>
        <v>公共部分装修</v>
      </c>
      <c r="AA28" s="1803">
        <f t="shared" si="3"/>
        <v>1</v>
      </c>
      <c r="AB28" s="1803">
        <f t="shared" si="4"/>
        <v>1</v>
      </c>
      <c r="AC28" s="180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4"/>
      <c r="Q29" s="1802" t="str">
        <f t="shared" si="11"/>
        <v>成新率</v>
      </c>
      <c r="R29" s="774" t="s">
        <v>17</v>
      </c>
      <c r="S29" s="775" t="e">
        <f t="shared" si="12"/>
        <v>#N/A</v>
      </c>
      <c r="T29" s="774" t="s">
        <v>17</v>
      </c>
      <c r="U29" s="775" t="e">
        <f t="shared" si="13"/>
        <v>#N/A</v>
      </c>
      <c r="V29" s="774" t="s">
        <v>17</v>
      </c>
      <c r="W29" s="775" t="e">
        <f t="shared" si="14"/>
        <v>#N/A</v>
      </c>
      <c r="X29" s="1805"/>
      <c r="Y29" s="3204"/>
      <c r="Z29" s="1806" t="str">
        <f t="shared" si="15"/>
        <v>成新率</v>
      </c>
      <c r="AA29" s="1803" t="e">
        <f t="shared" si="3"/>
        <v>#N/A</v>
      </c>
      <c r="AB29" s="1803" t="e">
        <f t="shared" si="4"/>
        <v>#N/A</v>
      </c>
      <c r="AC29" s="180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4"/>
      <c r="Q30" s="1802" t="str">
        <f t="shared" si="11"/>
        <v>物业等级</v>
      </c>
      <c r="R30" s="774" t="s">
        <v>17</v>
      </c>
      <c r="S30" s="775">
        <f t="shared" si="12"/>
        <v>100</v>
      </c>
      <c r="T30" s="774" t="s">
        <v>17</v>
      </c>
      <c r="U30" s="775">
        <f t="shared" si="13"/>
        <v>100</v>
      </c>
      <c r="V30" s="774" t="s">
        <v>17</v>
      </c>
      <c r="W30" s="775">
        <f t="shared" si="14"/>
        <v>100</v>
      </c>
      <c r="X30" s="1805"/>
      <c r="Y30" s="3204"/>
      <c r="Z30" s="1806" t="str">
        <f t="shared" si="15"/>
        <v>物业等级</v>
      </c>
      <c r="AA30" s="1803">
        <f t="shared" si="3"/>
        <v>1</v>
      </c>
      <c r="AB30" s="1803">
        <f t="shared" si="4"/>
        <v>1</v>
      </c>
      <c r="AC30" s="180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4"/>
      <c r="Q31" s="1787"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4" t="s">
        <v>2565</v>
      </c>
      <c r="Q32" s="1802" t="str">
        <f t="shared" si="11"/>
        <v>车位类型</v>
      </c>
      <c r="R32" s="774" t="s">
        <v>17</v>
      </c>
      <c r="S32" s="775">
        <f t="shared" si="12"/>
        <v>100</v>
      </c>
      <c r="T32" s="774" t="s">
        <v>17</v>
      </c>
      <c r="U32" s="775">
        <f t="shared" si="13"/>
        <v>100</v>
      </c>
      <c r="V32" s="774" t="s">
        <v>17</v>
      </c>
      <c r="W32" s="775">
        <f t="shared" si="14"/>
        <v>100</v>
      </c>
      <c r="X32" s="1805"/>
      <c r="Y32" s="3204" t="s">
        <v>2565</v>
      </c>
      <c r="Z32" s="1806" t="str">
        <f t="shared" si="15"/>
        <v>车位类型</v>
      </c>
      <c r="AA32" s="1803">
        <f t="shared" si="3"/>
        <v>1</v>
      </c>
      <c r="AB32" s="1803">
        <f t="shared" si="4"/>
        <v>1</v>
      </c>
      <c r="AC32" s="180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4"/>
      <c r="Q33" s="1802" t="str">
        <f t="shared" si="11"/>
        <v>是否直接入户</v>
      </c>
      <c r="R33" s="774" t="s">
        <v>17</v>
      </c>
      <c r="S33" s="775">
        <f t="shared" si="12"/>
        <v>100</v>
      </c>
      <c r="T33" s="774" t="s">
        <v>17</v>
      </c>
      <c r="U33" s="775">
        <f t="shared" si="13"/>
        <v>100</v>
      </c>
      <c r="V33" s="774" t="s">
        <v>17</v>
      </c>
      <c r="W33" s="775">
        <f t="shared" si="14"/>
        <v>100</v>
      </c>
      <c r="X33" s="1805"/>
      <c r="Y33" s="3204"/>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4"/>
      <c r="Q34" s="1802">
        <f t="shared" si="11"/>
        <v>111</v>
      </c>
      <c r="R34" s="774" t="s">
        <v>17</v>
      </c>
      <c r="S34" s="775">
        <f t="shared" si="12"/>
        <v>100</v>
      </c>
      <c r="T34" s="774" t="s">
        <v>17</v>
      </c>
      <c r="U34" s="775">
        <f t="shared" si="13"/>
        <v>100</v>
      </c>
      <c r="V34" s="774" t="s">
        <v>17</v>
      </c>
      <c r="W34" s="775">
        <f t="shared" si="14"/>
        <v>100</v>
      </c>
      <c r="X34" s="1805"/>
      <c r="Y34" s="3204"/>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4"/>
      <c r="Q36" s="1802">
        <f t="shared" si="11"/>
        <v>111</v>
      </c>
      <c r="R36" s="774" t="s">
        <v>17</v>
      </c>
      <c r="S36" s="775">
        <f t="shared" si="12"/>
        <v>100</v>
      </c>
      <c r="T36" s="774" t="s">
        <v>17</v>
      </c>
      <c r="U36" s="775">
        <f t="shared" si="13"/>
        <v>100</v>
      </c>
      <c r="V36" s="774" t="s">
        <v>17</v>
      </c>
      <c r="W36" s="775">
        <f t="shared" si="14"/>
        <v>100</v>
      </c>
      <c r="X36" s="1805"/>
      <c r="Y36" s="3204"/>
      <c r="Z36" s="1806">
        <f t="shared" si="15"/>
        <v>111</v>
      </c>
      <c r="AA36" s="1803">
        <f t="shared" si="3"/>
        <v>1</v>
      </c>
      <c r="AB36" s="1803">
        <f t="shared" si="4"/>
        <v>1</v>
      </c>
      <c r="AC36" s="1803">
        <f t="shared" si="5"/>
        <v>1</v>
      </c>
    </row>
    <row r="37" spans="1:29" ht="15">
      <c r="A37" s="479" t="s">
        <v>2720</v>
      </c>
      <c r="B37" s="2688" t="s">
        <v>2721</v>
      </c>
      <c r="C37" s="1407" t="s">
        <v>1</v>
      </c>
      <c r="D37" s="1408"/>
      <c r="E37" s="1409"/>
      <c r="F37" s="1410"/>
      <c r="G37" s="1411"/>
      <c r="H37" s="1412"/>
      <c r="I37" s="1409"/>
      <c r="J37" s="1412"/>
      <c r="K37" s="619"/>
      <c r="L37" s="1143"/>
      <c r="M37" s="1144"/>
      <c r="N37" s="1131"/>
      <c r="O37" s="1144"/>
      <c r="P37" s="3197" t="str">
        <f>A37</f>
        <v>成交单价</v>
      </c>
      <c r="Q37" s="3197"/>
      <c r="R37" s="3198">
        <f>E37</f>
        <v>0</v>
      </c>
      <c r="S37" s="3198"/>
      <c r="T37" s="3198">
        <f>G37</f>
        <v>0</v>
      </c>
      <c r="U37" s="3198"/>
      <c r="V37" s="3198">
        <f>I37</f>
        <v>0</v>
      </c>
      <c r="W37" s="3198"/>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94" t="str">
        <f>A39</f>
        <v>估价对象XX用房的比较价值（楼面单价，元/平方米）</v>
      </c>
      <c r="Q39" s="3195"/>
      <c r="R39" s="3196" t="e">
        <f>IF(F1="售价",ROUND(AVERAGE(R38:V38),0),ROUND(AVERAGE(R38:V38),1))</f>
        <v>#DIV/0!</v>
      </c>
      <c r="S39" s="3196"/>
      <c r="T39" s="3196"/>
      <c r="U39" s="3196"/>
      <c r="V39" s="3196"/>
      <c r="W39" s="319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7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2" t="s">
        <v>2646</v>
      </c>
      <c r="D4" s="3213"/>
      <c r="E4" s="3214" t="s">
        <v>2647</v>
      </c>
      <c r="F4" s="3215"/>
      <c r="G4" s="3212" t="s">
        <v>2648</v>
      </c>
      <c r="H4" s="3213"/>
      <c r="I4" s="3212" t="s">
        <v>2649</v>
      </c>
      <c r="J4" s="3213"/>
      <c r="K4" s="610" t="s">
        <v>2650</v>
      </c>
      <c r="L4" s="1130"/>
      <c r="M4" s="1131"/>
      <c r="N4" s="1131"/>
      <c r="O4" s="1131"/>
      <c r="P4" s="3216" t="s">
        <v>2651</v>
      </c>
      <c r="Q4" s="3217"/>
      <c r="R4" s="3222" t="s">
        <v>2647</v>
      </c>
      <c r="S4" s="3223"/>
      <c r="T4" s="3222" t="s">
        <v>2648</v>
      </c>
      <c r="U4" s="3223"/>
      <c r="V4" s="3228" t="s">
        <v>2649</v>
      </c>
      <c r="W4" s="3228"/>
      <c r="X4" s="1805"/>
      <c r="Y4" s="3222" t="s">
        <v>2651</v>
      </c>
      <c r="Z4" s="3223"/>
      <c r="AA4" s="3209" t="s">
        <v>2647</v>
      </c>
      <c r="AB4" s="3210" t="s">
        <v>2648</v>
      </c>
      <c r="AC4" s="3209" t="s">
        <v>2649</v>
      </c>
    </row>
    <row r="5" spans="1:29" ht="15">
      <c r="A5" s="404"/>
      <c r="B5" s="405"/>
      <c r="C5" s="3231" t="s">
        <v>2542</v>
      </c>
      <c r="D5" s="3232"/>
      <c r="E5" s="3238" t="s">
        <v>2543</v>
      </c>
      <c r="F5" s="3239"/>
      <c r="G5" s="3231" t="s">
        <v>2544</v>
      </c>
      <c r="H5" s="3232"/>
      <c r="I5" s="3231" t="s">
        <v>2545</v>
      </c>
      <c r="J5" s="3232"/>
      <c r="K5" s="610"/>
      <c r="L5" s="1130"/>
      <c r="M5" s="1131"/>
      <c r="N5" s="1131"/>
      <c r="O5" s="1131"/>
      <c r="P5" s="3218"/>
      <c r="Q5" s="3219"/>
      <c r="R5" s="3224"/>
      <c r="S5" s="3225"/>
      <c r="T5" s="3224"/>
      <c r="U5" s="3225"/>
      <c r="V5" s="3228"/>
      <c r="W5" s="3228"/>
      <c r="X5" s="1805"/>
      <c r="Y5" s="3224"/>
      <c r="Z5" s="3225"/>
      <c r="AA5" s="3210"/>
      <c r="AB5" s="3210"/>
      <c r="AC5" s="3210"/>
    </row>
    <row r="6" spans="1:29" ht="15.75" thickBot="1">
      <c r="A6" s="406"/>
      <c r="B6" s="407"/>
      <c r="C6" s="3229" t="s">
        <v>2546</v>
      </c>
      <c r="D6" s="3230"/>
      <c r="E6" s="3236" t="s">
        <v>2546</v>
      </c>
      <c r="F6" s="3237"/>
      <c r="G6" s="3229" t="s">
        <v>2546</v>
      </c>
      <c r="H6" s="3230"/>
      <c r="I6" s="3229" t="s">
        <v>2546</v>
      </c>
      <c r="J6" s="3230"/>
      <c r="K6" s="610" t="s">
        <v>2547</v>
      </c>
      <c r="L6" s="1130"/>
      <c r="M6" s="1131"/>
      <c r="N6" s="1131"/>
      <c r="O6" s="1131"/>
      <c r="P6" s="3220"/>
      <c r="Q6" s="3221"/>
      <c r="R6" s="3224"/>
      <c r="S6" s="3225"/>
      <c r="T6" s="3226"/>
      <c r="U6" s="3227"/>
      <c r="V6" s="3228"/>
      <c r="W6" s="3228"/>
      <c r="X6" s="1805"/>
      <c r="Y6" s="3226"/>
      <c r="Z6" s="3227"/>
      <c r="AA6" s="3211"/>
      <c r="AB6" s="3211"/>
      <c r="AC6" s="3211"/>
    </row>
    <row r="7" spans="1:29" s="117" customFormat="1" ht="15.75" thickBot="1">
      <c r="A7" s="408" t="s">
        <v>2548</v>
      </c>
      <c r="B7" s="409"/>
      <c r="C7" s="410">
        <f>'数据-取费表'!B2</f>
        <v>44019</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33" t="s">
        <v>2549</v>
      </c>
      <c r="Q7" s="3235"/>
      <c r="R7" s="770" t="s">
        <v>17</v>
      </c>
      <c r="S7" s="771">
        <f t="shared" ref="S7:S14" si="0">F7</f>
        <v>0</v>
      </c>
      <c r="T7" s="770" t="s">
        <v>17</v>
      </c>
      <c r="U7" s="771">
        <f t="shared" ref="U7:U14" si="1">H7</f>
        <v>0</v>
      </c>
      <c r="V7" s="770" t="s">
        <v>17</v>
      </c>
      <c r="W7" s="771">
        <f t="shared" ref="W7:W14" si="2">J7</f>
        <v>0</v>
      </c>
      <c r="X7" s="772"/>
      <c r="Y7" s="3233" t="s">
        <v>2549</v>
      </c>
      <c r="Z7" s="3234"/>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3" t="s">
        <v>2552</v>
      </c>
      <c r="Q8" s="3234"/>
      <c r="R8" s="770" t="s">
        <v>17</v>
      </c>
      <c r="S8" s="771">
        <f t="shared" si="0"/>
        <v>0</v>
      </c>
      <c r="T8" s="770" t="s">
        <v>17</v>
      </c>
      <c r="U8" s="771">
        <f t="shared" si="1"/>
        <v>0</v>
      </c>
      <c r="V8" s="770" t="s">
        <v>17</v>
      </c>
      <c r="W8" s="771">
        <f t="shared" si="2"/>
        <v>0</v>
      </c>
      <c r="X8" s="772"/>
      <c r="Y8" s="3233" t="s">
        <v>2552</v>
      </c>
      <c r="Z8" s="3234"/>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7" t="s">
        <v>2555</v>
      </c>
      <c r="Q9" s="1787" t="str">
        <f t="shared" ref="Q9:Q14" si="6">B9</f>
        <v>用途</v>
      </c>
      <c r="R9" s="770" t="s">
        <v>17</v>
      </c>
      <c r="S9" s="771">
        <f t="shared" si="0"/>
        <v>100</v>
      </c>
      <c r="T9" s="770" t="s">
        <v>17</v>
      </c>
      <c r="U9" s="771">
        <f t="shared" si="1"/>
        <v>100</v>
      </c>
      <c r="V9" s="770" t="s">
        <v>17</v>
      </c>
      <c r="W9" s="771">
        <f t="shared" si="2"/>
        <v>100</v>
      </c>
      <c r="X9" s="772"/>
      <c r="Y9" s="3020"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7"/>
      <c r="Q10" s="178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7"/>
      <c r="Q11" s="178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7"/>
      <c r="Q12" s="178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197"/>
      <c r="Q13" s="178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2559</v>
      </c>
      <c r="B14" s="69" t="s">
        <v>2709</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9" t="s">
        <v>2560</v>
      </c>
      <c r="Q14" s="1802" t="str">
        <f t="shared" si="6"/>
        <v>交通便捷度</v>
      </c>
      <c r="R14" s="774" t="s">
        <v>17</v>
      </c>
      <c r="S14" s="775">
        <f t="shared" si="0"/>
        <v>100</v>
      </c>
      <c r="T14" s="774" t="s">
        <v>17</v>
      </c>
      <c r="U14" s="775">
        <f t="shared" si="1"/>
        <v>100</v>
      </c>
      <c r="V14" s="774" t="s">
        <v>17</v>
      </c>
      <c r="W14" s="775">
        <f t="shared" si="2"/>
        <v>100</v>
      </c>
      <c r="X14" s="1805"/>
      <c r="Y14" s="3199" t="s">
        <v>2560</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00"/>
      <c r="Q15" s="1802"/>
      <c r="R15" s="774"/>
      <c r="S15" s="775"/>
      <c r="T15" s="774"/>
      <c r="U15" s="775"/>
      <c r="V15" s="774"/>
      <c r="W15" s="775"/>
      <c r="X15" s="1805"/>
      <c r="Y15" s="3200"/>
      <c r="Z15" s="1806"/>
      <c r="AA15" s="1803">
        <v>1</v>
      </c>
      <c r="AB15" s="1803">
        <v>1</v>
      </c>
      <c r="AC15" s="1803">
        <v>1</v>
      </c>
    </row>
    <row r="16" spans="1:29" ht="42.75">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0"/>
      <c r="Q16" s="1802" t="str">
        <f>B16</f>
        <v>公共配套设施</v>
      </c>
      <c r="R16" s="774" t="s">
        <v>17</v>
      </c>
      <c r="S16" s="775">
        <f>F16</f>
        <v>100</v>
      </c>
      <c r="T16" s="774" t="s">
        <v>17</v>
      </c>
      <c r="U16" s="775">
        <f>H16</f>
        <v>100</v>
      </c>
      <c r="V16" s="774" t="s">
        <v>17</v>
      </c>
      <c r="W16" s="775">
        <f>J16</f>
        <v>100</v>
      </c>
      <c r="X16" s="1805"/>
      <c r="Y16" s="3200"/>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200"/>
      <c r="Q17" s="1802"/>
      <c r="R17" s="774"/>
      <c r="S17" s="775"/>
      <c r="T17" s="774"/>
      <c r="U17" s="775"/>
      <c r="V17" s="774"/>
      <c r="W17" s="775"/>
      <c r="X17" s="1805"/>
      <c r="Y17" s="3200"/>
      <c r="Z17" s="1806"/>
      <c r="AA17" s="1803">
        <v>1</v>
      </c>
      <c r="AB17" s="1803">
        <v>1</v>
      </c>
      <c r="AC17" s="1803">
        <v>1</v>
      </c>
    </row>
    <row r="18" spans="1:29" ht="28.5">
      <c r="A18" s="428"/>
      <c r="B18" s="1384"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0"/>
      <c r="Q18" s="1802" t="str">
        <f>B18</f>
        <v>基础设施水平</v>
      </c>
      <c r="R18" s="774" t="s">
        <v>17</v>
      </c>
      <c r="S18" s="775">
        <f>F18</f>
        <v>100</v>
      </c>
      <c r="T18" s="774" t="s">
        <v>17</v>
      </c>
      <c r="U18" s="775">
        <f>H18</f>
        <v>100</v>
      </c>
      <c r="V18" s="774" t="s">
        <v>17</v>
      </c>
      <c r="W18" s="775">
        <f>J18</f>
        <v>100</v>
      </c>
      <c r="X18" s="1805"/>
      <c r="Y18" s="3200"/>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200"/>
      <c r="Q19" s="1802"/>
      <c r="R19" s="774"/>
      <c r="S19" s="775"/>
      <c r="T19" s="774"/>
      <c r="U19" s="775"/>
      <c r="V19" s="774"/>
      <c r="W19" s="775"/>
      <c r="X19" s="1805"/>
      <c r="Y19" s="3200"/>
      <c r="Z19" s="1806"/>
      <c r="AA19" s="1803">
        <v>1</v>
      </c>
      <c r="AB19" s="1803">
        <v>1</v>
      </c>
      <c r="AC19" s="1803">
        <v>1</v>
      </c>
    </row>
    <row r="20" spans="1:29" ht="57">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0"/>
      <c r="Q20" s="1802" t="str">
        <f>B20</f>
        <v>自然及人文环境</v>
      </c>
      <c r="R20" s="774" t="s">
        <v>17</v>
      </c>
      <c r="S20" s="775">
        <f>F20</f>
        <v>100</v>
      </c>
      <c r="T20" s="774" t="s">
        <v>17</v>
      </c>
      <c r="U20" s="775">
        <f>H20</f>
        <v>100</v>
      </c>
      <c r="V20" s="774" t="s">
        <v>17</v>
      </c>
      <c r="W20" s="775">
        <f>J20</f>
        <v>100</v>
      </c>
      <c r="X20" s="1805"/>
      <c r="Y20" s="3200"/>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00"/>
      <c r="Q21" s="1802"/>
      <c r="R21" s="774"/>
      <c r="S21" s="775"/>
      <c r="T21" s="774"/>
      <c r="U21" s="775"/>
      <c r="V21" s="774"/>
      <c r="W21" s="775"/>
      <c r="X21" s="1805"/>
      <c r="Y21" s="3200"/>
      <c r="Z21" s="1806"/>
      <c r="AA21" s="1803">
        <v>1</v>
      </c>
      <c r="AB21" s="1803">
        <v>1</v>
      </c>
      <c r="AC21" s="180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0"/>
      <c r="Q22" s="1802" t="str">
        <f>B22</f>
        <v>楼层</v>
      </c>
      <c r="R22" s="774" t="s">
        <v>17</v>
      </c>
      <c r="S22" s="775">
        <f>F22</f>
        <v>100</v>
      </c>
      <c r="T22" s="774" t="s">
        <v>17</v>
      </c>
      <c r="U22" s="775">
        <f>H22</f>
        <v>100</v>
      </c>
      <c r="V22" s="774" t="s">
        <v>17</v>
      </c>
      <c r="W22" s="775">
        <f>J22</f>
        <v>100</v>
      </c>
      <c r="X22" s="1805"/>
      <c r="Y22" s="3200"/>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0"/>
      <c r="Q23" s="1802">
        <f>B23</f>
        <v>111</v>
      </c>
      <c r="R23" s="774" t="s">
        <v>17</v>
      </c>
      <c r="S23" s="775">
        <f>F23</f>
        <v>100</v>
      </c>
      <c r="T23" s="774" t="s">
        <v>17</v>
      </c>
      <c r="U23" s="775">
        <f>H23</f>
        <v>100</v>
      </c>
      <c r="V23" s="774" t="s">
        <v>17</v>
      </c>
      <c r="W23" s="775">
        <f>J23</f>
        <v>100</v>
      </c>
      <c r="X23" s="1805"/>
      <c r="Y23" s="3200"/>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0"/>
      <c r="Q24" s="1802">
        <f t="shared" ref="Q24:Q34" si="11">B24</f>
        <v>111</v>
      </c>
      <c r="R24" s="774" t="s">
        <v>17</v>
      </c>
      <c r="S24" s="775">
        <f>F24</f>
        <v>100</v>
      </c>
      <c r="T24" s="774" t="s">
        <v>17</v>
      </c>
      <c r="U24" s="775">
        <f>H24</f>
        <v>100</v>
      </c>
      <c r="V24" s="774" t="s">
        <v>17</v>
      </c>
      <c r="W24" s="775">
        <f>J24</f>
        <v>100</v>
      </c>
      <c r="X24" s="1805"/>
      <c r="Y24" s="3200"/>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00"/>
      <c r="Q25" s="1787">
        <f t="shared" si="11"/>
        <v>111</v>
      </c>
      <c r="R25" s="770" t="s">
        <v>17</v>
      </c>
      <c r="S25" s="771">
        <f>F25</f>
        <v>100</v>
      </c>
      <c r="T25" s="770" t="s">
        <v>17</v>
      </c>
      <c r="U25" s="771">
        <f>H25</f>
        <v>100</v>
      </c>
      <c r="V25" s="770" t="s">
        <v>17</v>
      </c>
      <c r="W25" s="771">
        <f>J25</f>
        <v>100</v>
      </c>
      <c r="X25" s="772"/>
      <c r="Y25" s="3200"/>
      <c r="Z25" s="55">
        <f>Q25</f>
        <v>111</v>
      </c>
      <c r="AA25" s="1803">
        <f>D25/F25</f>
        <v>1</v>
      </c>
      <c r="AB25" s="1803">
        <f>D25/H25</f>
        <v>1</v>
      </c>
      <c r="AC25" s="1803">
        <f>D25/J25</f>
        <v>1</v>
      </c>
    </row>
    <row r="26" spans="1:29" ht="28.5">
      <c r="A26" s="466" t="s">
        <v>2563</v>
      </c>
      <c r="B26" s="71" t="s">
        <v>2714</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55" t="s">
        <v>2565</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04" t="s">
        <v>2565</v>
      </c>
      <c r="Z26" s="1806" t="str">
        <f t="shared" ref="Z26:Z34" si="15">Q26</f>
        <v>公共部分装修</v>
      </c>
      <c r="AA26" s="1803">
        <f t="shared" si="3"/>
        <v>1</v>
      </c>
      <c r="AB26" s="1803">
        <f t="shared" si="4"/>
        <v>1</v>
      </c>
      <c r="AC26" s="180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03" t="e">
        <f t="shared" si="3"/>
        <v>#N/A</v>
      </c>
      <c r="AB27" s="1803" t="e">
        <f t="shared" si="4"/>
        <v>#N/A</v>
      </c>
      <c r="AC27" s="180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4"/>
      <c r="Q28" s="1802" t="str">
        <f t="shared" si="11"/>
        <v>物业等级</v>
      </c>
      <c r="R28" s="774" t="s">
        <v>17</v>
      </c>
      <c r="S28" s="775">
        <f t="shared" si="12"/>
        <v>100</v>
      </c>
      <c r="T28" s="774" t="s">
        <v>17</v>
      </c>
      <c r="U28" s="775">
        <f t="shared" si="13"/>
        <v>100</v>
      </c>
      <c r="V28" s="774" t="s">
        <v>17</v>
      </c>
      <c r="W28" s="775">
        <f t="shared" si="14"/>
        <v>100</v>
      </c>
      <c r="X28" s="1805"/>
      <c r="Y28" s="3204"/>
      <c r="Z28" s="1806" t="str">
        <f t="shared" si="15"/>
        <v>物业等级</v>
      </c>
      <c r="AA28" s="1803">
        <f t="shared" si="3"/>
        <v>1</v>
      </c>
      <c r="AB28" s="1803">
        <f t="shared" si="4"/>
        <v>1</v>
      </c>
      <c r="AC28" s="180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4"/>
      <c r="Q29" s="1802" t="str">
        <f t="shared" si="11"/>
        <v>有无电梯</v>
      </c>
      <c r="R29" s="774" t="s">
        <v>17</v>
      </c>
      <c r="S29" s="775">
        <f t="shared" si="12"/>
        <v>100</v>
      </c>
      <c r="T29" s="774" t="s">
        <v>17</v>
      </c>
      <c r="U29" s="775">
        <f t="shared" si="13"/>
        <v>100</v>
      </c>
      <c r="V29" s="774" t="s">
        <v>17</v>
      </c>
      <c r="W29" s="775">
        <f t="shared" si="14"/>
        <v>100</v>
      </c>
      <c r="X29" s="1805"/>
      <c r="Y29" s="3204"/>
      <c r="Z29" s="1806" t="str">
        <f t="shared" si="15"/>
        <v>有无电梯</v>
      </c>
      <c r="AA29" s="1803">
        <f t="shared" si="3"/>
        <v>1</v>
      </c>
      <c r="AB29" s="1803">
        <f t="shared" si="4"/>
        <v>1</v>
      </c>
      <c r="AC29" s="180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4"/>
      <c r="Q30" s="1802" t="str">
        <f t="shared" si="11"/>
        <v>建筑面积</v>
      </c>
      <c r="R30" s="774" t="s">
        <v>17</v>
      </c>
      <c r="S30" s="775" t="e">
        <f t="shared" si="12"/>
        <v>#N/A</v>
      </c>
      <c r="T30" s="774" t="s">
        <v>17</v>
      </c>
      <c r="U30" s="775" t="e">
        <f t="shared" si="13"/>
        <v>#N/A</v>
      </c>
      <c r="V30" s="774" t="s">
        <v>17</v>
      </c>
      <c r="W30" s="775" t="e">
        <f t="shared" si="14"/>
        <v>#N/A</v>
      </c>
      <c r="X30" s="1805"/>
      <c r="Y30" s="3204"/>
      <c r="Z30" s="1806" t="str">
        <f t="shared" si="15"/>
        <v>建筑面积</v>
      </c>
      <c r="AA30" s="1803" t="e">
        <f t="shared" si="3"/>
        <v>#N/A</v>
      </c>
      <c r="AB30" s="1803" t="e">
        <f t="shared" si="4"/>
        <v>#N/A</v>
      </c>
      <c r="AC30" s="180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4"/>
      <c r="Q31" s="1787"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4" t="s">
        <v>2565</v>
      </c>
      <c r="Q32" s="1802">
        <f t="shared" si="11"/>
        <v>111</v>
      </c>
      <c r="R32" s="774" t="s">
        <v>17</v>
      </c>
      <c r="S32" s="775">
        <f t="shared" si="12"/>
        <v>100</v>
      </c>
      <c r="T32" s="774" t="s">
        <v>17</v>
      </c>
      <c r="U32" s="775">
        <f t="shared" si="13"/>
        <v>100</v>
      </c>
      <c r="V32" s="774" t="s">
        <v>17</v>
      </c>
      <c r="W32" s="775">
        <f t="shared" si="14"/>
        <v>100</v>
      </c>
      <c r="X32" s="1805"/>
      <c r="Y32" s="3204" t="s">
        <v>2565</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4"/>
      <c r="Q33" s="1802">
        <f t="shared" si="11"/>
        <v>111</v>
      </c>
      <c r="R33" s="774" t="s">
        <v>17</v>
      </c>
      <c r="S33" s="775">
        <f t="shared" si="12"/>
        <v>100</v>
      </c>
      <c r="T33" s="774" t="s">
        <v>17</v>
      </c>
      <c r="U33" s="775">
        <f t="shared" si="13"/>
        <v>100</v>
      </c>
      <c r="V33" s="774" t="s">
        <v>17</v>
      </c>
      <c r="W33" s="775">
        <f t="shared" si="14"/>
        <v>100</v>
      </c>
      <c r="X33" s="1805"/>
      <c r="Y33" s="3204"/>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04"/>
      <c r="Q34" s="1802">
        <f t="shared" si="11"/>
        <v>111</v>
      </c>
      <c r="R34" s="774" t="s">
        <v>17</v>
      </c>
      <c r="S34" s="775">
        <f t="shared" si="12"/>
        <v>100</v>
      </c>
      <c r="T34" s="774" t="s">
        <v>17</v>
      </c>
      <c r="U34" s="775">
        <f t="shared" si="13"/>
        <v>100</v>
      </c>
      <c r="V34" s="774" t="s">
        <v>17</v>
      </c>
      <c r="W34" s="775">
        <f t="shared" si="14"/>
        <v>100</v>
      </c>
      <c r="X34" s="1805"/>
      <c r="Y34" s="3204"/>
      <c r="Z34" s="1806">
        <f t="shared" si="15"/>
        <v>111</v>
      </c>
      <c r="AA34" s="1803">
        <f t="shared" si="3"/>
        <v>1</v>
      </c>
      <c r="AB34" s="1803">
        <f t="shared" si="4"/>
        <v>1</v>
      </c>
      <c r="AC34" s="1803">
        <f t="shared" si="5"/>
        <v>1</v>
      </c>
    </row>
    <row r="35" spans="1:29" ht="15">
      <c r="A35" s="479" t="s">
        <v>2577</v>
      </c>
      <c r="B35" s="480"/>
      <c r="C35" s="1407" t="s">
        <v>1</v>
      </c>
      <c r="D35" s="1408"/>
      <c r="E35" s="1409"/>
      <c r="F35" s="1410"/>
      <c r="G35" s="1411"/>
      <c r="H35" s="1412"/>
      <c r="I35" s="1409"/>
      <c r="J35" s="1412"/>
      <c r="K35" s="783"/>
      <c r="L35" s="1143"/>
      <c r="M35" s="1144"/>
      <c r="N35" s="1131"/>
      <c r="O35" s="1144"/>
      <c r="P35" s="3197" t="str">
        <f>A35</f>
        <v>成交单价（元/平方米）</v>
      </c>
      <c r="Q35" s="3197"/>
      <c r="R35" s="3198">
        <f>E35</f>
        <v>0</v>
      </c>
      <c r="S35" s="3198"/>
      <c r="T35" s="3198">
        <f>G35</f>
        <v>0</v>
      </c>
      <c r="U35" s="3198"/>
      <c r="V35" s="3198">
        <f>I35</f>
        <v>0</v>
      </c>
      <c r="W35" s="3198"/>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94" t="str">
        <f>A37</f>
        <v>估价对象XX用房的比较价值（楼面单价，元/平方米）</v>
      </c>
      <c r="Q37" s="3195"/>
      <c r="R37" s="3196" t="e">
        <f>IF(F1="售价",ROUND(AVERAGE(R36:V36),0),ROUND(AVERAGE(R36:V36),1))</f>
        <v>#DIV/0!</v>
      </c>
      <c r="S37" s="3196"/>
      <c r="T37" s="3196"/>
      <c r="U37" s="3196"/>
      <c r="V37" s="3196"/>
      <c r="W37" s="319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12" t="s">
        <v>2646</v>
      </c>
      <c r="D4" s="3213"/>
      <c r="E4" s="3214" t="s">
        <v>2647</v>
      </c>
      <c r="F4" s="3215"/>
      <c r="G4" s="3212" t="s">
        <v>2648</v>
      </c>
      <c r="H4" s="3213"/>
      <c r="I4" s="3212" t="s">
        <v>2649</v>
      </c>
      <c r="J4" s="3213"/>
      <c r="K4" s="610" t="s">
        <v>2650</v>
      </c>
      <c r="L4" s="1130"/>
      <c r="M4" s="1131"/>
      <c r="N4" s="1131"/>
      <c r="O4" s="1131"/>
      <c r="P4" s="3216" t="s">
        <v>2651</v>
      </c>
      <c r="Q4" s="3217"/>
      <c r="R4" s="3222" t="s">
        <v>2647</v>
      </c>
      <c r="S4" s="3223"/>
      <c r="T4" s="3222" t="s">
        <v>2648</v>
      </c>
      <c r="U4" s="3223"/>
      <c r="V4" s="3228" t="s">
        <v>2649</v>
      </c>
      <c r="W4" s="3228"/>
      <c r="X4" s="1805"/>
      <c r="Y4" s="3222" t="s">
        <v>2651</v>
      </c>
      <c r="Z4" s="3223"/>
      <c r="AA4" s="3209" t="s">
        <v>2647</v>
      </c>
      <c r="AB4" s="3210" t="s">
        <v>2648</v>
      </c>
      <c r="AC4" s="3209" t="s">
        <v>2649</v>
      </c>
    </row>
    <row r="5" spans="1:30" ht="15">
      <c r="A5" s="404"/>
      <c r="B5" s="405"/>
      <c r="C5" s="3231" t="s">
        <v>2542</v>
      </c>
      <c r="D5" s="3232"/>
      <c r="E5" s="3238" t="s">
        <v>2543</v>
      </c>
      <c r="F5" s="3239"/>
      <c r="G5" s="3231" t="s">
        <v>2544</v>
      </c>
      <c r="H5" s="3232"/>
      <c r="I5" s="3231" t="s">
        <v>2545</v>
      </c>
      <c r="J5" s="3232"/>
      <c r="K5" s="610"/>
      <c r="L5" s="1130"/>
      <c r="M5" s="1131"/>
      <c r="N5" s="1131"/>
      <c r="O5" s="1131"/>
      <c r="P5" s="3218"/>
      <c r="Q5" s="3219"/>
      <c r="R5" s="3224"/>
      <c r="S5" s="3225"/>
      <c r="T5" s="3224"/>
      <c r="U5" s="3225"/>
      <c r="V5" s="3228"/>
      <c r="W5" s="3228"/>
      <c r="X5" s="1805"/>
      <c r="Y5" s="3224"/>
      <c r="Z5" s="3225"/>
      <c r="AA5" s="3210"/>
      <c r="AB5" s="3210"/>
      <c r="AC5" s="3210"/>
    </row>
    <row r="6" spans="1:30" ht="15.75" thickBot="1">
      <c r="A6" s="406"/>
      <c r="B6" s="407"/>
      <c r="C6" s="3229" t="s">
        <v>2546</v>
      </c>
      <c r="D6" s="3230"/>
      <c r="E6" s="3236" t="s">
        <v>2546</v>
      </c>
      <c r="F6" s="3237"/>
      <c r="G6" s="3229" t="s">
        <v>2546</v>
      </c>
      <c r="H6" s="3230"/>
      <c r="I6" s="3229" t="s">
        <v>2546</v>
      </c>
      <c r="J6" s="3230"/>
      <c r="K6" s="610" t="s">
        <v>2547</v>
      </c>
      <c r="L6" s="1130"/>
      <c r="M6" s="1131"/>
      <c r="N6" s="1131"/>
      <c r="O6" s="1131"/>
      <c r="P6" s="3220"/>
      <c r="Q6" s="3221"/>
      <c r="R6" s="3224"/>
      <c r="S6" s="3225"/>
      <c r="T6" s="3226"/>
      <c r="U6" s="3227"/>
      <c r="V6" s="3228"/>
      <c r="W6" s="3228"/>
      <c r="X6" s="1805"/>
      <c r="Y6" s="3226"/>
      <c r="Z6" s="3227"/>
      <c r="AA6" s="3211"/>
      <c r="AB6" s="3211"/>
      <c r="AC6" s="3211"/>
    </row>
    <row r="7" spans="1:30" s="117" customFormat="1" ht="15.75" thickBot="1">
      <c r="A7" s="408" t="s">
        <v>2548</v>
      </c>
      <c r="B7" s="409"/>
      <c r="C7" s="410">
        <f>'数据-取费表'!B2</f>
        <v>44019</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33" t="s">
        <v>2549</v>
      </c>
      <c r="Q7" s="3235"/>
      <c r="R7" s="770" t="s">
        <v>17</v>
      </c>
      <c r="S7" s="771">
        <f t="shared" ref="S7:S15" si="0">F7</f>
        <v>0</v>
      </c>
      <c r="T7" s="770" t="s">
        <v>17</v>
      </c>
      <c r="U7" s="771">
        <f t="shared" ref="U7:U15" si="1">H7</f>
        <v>0</v>
      </c>
      <c r="V7" s="770" t="s">
        <v>17</v>
      </c>
      <c r="W7" s="771">
        <f t="shared" ref="W7:W15" si="2">J7</f>
        <v>0</v>
      </c>
      <c r="X7" s="772"/>
      <c r="Y7" s="3233" t="s">
        <v>2549</v>
      </c>
      <c r="Z7" s="3234"/>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3" t="s">
        <v>2552</v>
      </c>
      <c r="Q8" s="3234"/>
      <c r="R8" s="770" t="s">
        <v>17</v>
      </c>
      <c r="S8" s="771">
        <f t="shared" si="0"/>
        <v>0</v>
      </c>
      <c r="T8" s="770" t="s">
        <v>17</v>
      </c>
      <c r="U8" s="771">
        <f t="shared" si="1"/>
        <v>0</v>
      </c>
      <c r="V8" s="770" t="s">
        <v>17</v>
      </c>
      <c r="W8" s="771">
        <f t="shared" si="2"/>
        <v>0</v>
      </c>
      <c r="X8" s="772"/>
      <c r="Y8" s="3233" t="s">
        <v>2552</v>
      </c>
      <c r="Z8" s="3234"/>
      <c r="AA8" s="773" t="e">
        <f t="shared" ref="AA8:AA45" si="3">D8/F8</f>
        <v>#DIV/0!</v>
      </c>
      <c r="AB8" s="773" t="e">
        <f t="shared" ref="AB8:AB45" si="4">D8/H8</f>
        <v>#DIV/0!</v>
      </c>
      <c r="AC8" s="773" t="e">
        <f t="shared" ref="AC8:AC45" si="5">D8/J8</f>
        <v>#DIV/0!</v>
      </c>
    </row>
    <row r="9" spans="1:30" s="117" customFormat="1">
      <c r="A9" s="415" t="s">
        <v>2553</v>
      </c>
      <c r="B9" s="71" t="s">
        <v>2554</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197" t="s">
        <v>2555</v>
      </c>
      <c r="Q9" s="1787"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127</v>
      </c>
      <c r="G10" s="463"/>
      <c r="H10" s="136">
        <f>ROUND(100/'数据-取费表'!G16,0)</f>
        <v>127</v>
      </c>
      <c r="I10" s="463"/>
      <c r="J10" s="136">
        <f>ROUND(100/'数据-取费表'!G16,0)</f>
        <v>127</v>
      </c>
      <c r="K10" s="672"/>
      <c r="L10" s="1135"/>
      <c r="M10" s="1136"/>
      <c r="N10" s="1136"/>
      <c r="O10" s="1137"/>
      <c r="P10" s="3197"/>
      <c r="Q10" s="1787" t="str">
        <f t="shared" si="6"/>
        <v>土地使用年限（年）</v>
      </c>
      <c r="R10" s="770" t="s">
        <v>17</v>
      </c>
      <c r="S10" s="771">
        <f t="shared" si="0"/>
        <v>127</v>
      </c>
      <c r="T10" s="770" t="s">
        <v>17</v>
      </c>
      <c r="U10" s="771">
        <f t="shared" si="1"/>
        <v>127</v>
      </c>
      <c r="V10" s="770" t="s">
        <v>17</v>
      </c>
      <c r="W10" s="771">
        <f t="shared" si="2"/>
        <v>127</v>
      </c>
      <c r="X10" s="772"/>
      <c r="Y10" s="3020"/>
      <c r="Z10" s="55" t="str">
        <f t="shared" si="7"/>
        <v>土地使用年限（年）</v>
      </c>
      <c r="AA10" s="773">
        <f t="shared" si="3"/>
        <v>0.78740157480314965</v>
      </c>
      <c r="AB10" s="773">
        <f t="shared" si="4"/>
        <v>0.78740157480314965</v>
      </c>
      <c r="AC10" s="773">
        <f t="shared" si="5"/>
        <v>0.78740157480314965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7"/>
      <c r="Q11" s="178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7"/>
      <c r="Q12" s="1787"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7"/>
      <c r="Q13" s="1787">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7"/>
      <c r="Q14" s="1787">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9" t="s">
        <v>2560</v>
      </c>
      <c r="Q15" s="1802" t="str">
        <f t="shared" si="6"/>
        <v>居住社区成熟度</v>
      </c>
      <c r="R15" s="774" t="s">
        <v>17</v>
      </c>
      <c r="S15" s="775">
        <f t="shared" si="0"/>
        <v>100</v>
      </c>
      <c r="T15" s="774" t="s">
        <v>17</v>
      </c>
      <c r="U15" s="775">
        <f t="shared" si="1"/>
        <v>100</v>
      </c>
      <c r="V15" s="774" t="s">
        <v>17</v>
      </c>
      <c r="W15" s="775">
        <f t="shared" si="2"/>
        <v>100</v>
      </c>
      <c r="X15" s="1805"/>
      <c r="Y15" s="3199" t="s">
        <v>2560</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200"/>
      <c r="Q16" s="1802"/>
      <c r="R16" s="774"/>
      <c r="S16" s="775"/>
      <c r="T16" s="774"/>
      <c r="U16" s="775"/>
      <c r="V16" s="774"/>
      <c r="W16" s="775"/>
      <c r="X16" s="1805"/>
      <c r="Y16" s="3200"/>
      <c r="Z16" s="1806"/>
      <c r="AA16" s="1803">
        <v>1</v>
      </c>
      <c r="AB16" s="1803">
        <v>1</v>
      </c>
      <c r="AC16" s="1803">
        <v>1</v>
      </c>
    </row>
    <row r="17" spans="1:29" ht="71.25">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0"/>
      <c r="Q17" s="1802" t="str">
        <f>B17</f>
        <v>商业繁华度</v>
      </c>
      <c r="R17" s="774" t="s">
        <v>17</v>
      </c>
      <c r="S17" s="775">
        <f>F17</f>
        <v>100</v>
      </c>
      <c r="T17" s="774" t="s">
        <v>17</v>
      </c>
      <c r="U17" s="775">
        <f>H17</f>
        <v>100</v>
      </c>
      <c r="V17" s="774" t="s">
        <v>17</v>
      </c>
      <c r="W17" s="775">
        <f>J17</f>
        <v>100</v>
      </c>
      <c r="X17" s="1805"/>
      <c r="Y17" s="3200"/>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200"/>
      <c r="Q18" s="1802"/>
      <c r="R18" s="774"/>
      <c r="S18" s="775"/>
      <c r="T18" s="774"/>
      <c r="U18" s="775"/>
      <c r="V18" s="774"/>
      <c r="W18" s="775"/>
      <c r="X18" s="1805"/>
      <c r="Y18" s="3200"/>
      <c r="Z18" s="1806"/>
      <c r="AA18" s="1803">
        <v>1</v>
      </c>
      <c r="AB18" s="1803">
        <v>1</v>
      </c>
      <c r="AC18" s="1803">
        <v>1</v>
      </c>
    </row>
    <row r="19" spans="1:29" ht="71.25">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0"/>
      <c r="Q19" s="1802" t="str">
        <f>B19</f>
        <v>办公集聚程度</v>
      </c>
      <c r="R19" s="774" t="s">
        <v>17</v>
      </c>
      <c r="S19" s="775">
        <f>F19</f>
        <v>100</v>
      </c>
      <c r="T19" s="774" t="s">
        <v>17</v>
      </c>
      <c r="U19" s="775">
        <f>H19</f>
        <v>100</v>
      </c>
      <c r="V19" s="774" t="s">
        <v>17</v>
      </c>
      <c r="W19" s="775">
        <f>J19</f>
        <v>100</v>
      </c>
      <c r="X19" s="1805"/>
      <c r="Y19" s="3200"/>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200"/>
      <c r="Q20" s="1802"/>
      <c r="R20" s="774"/>
      <c r="S20" s="775"/>
      <c r="T20" s="774"/>
      <c r="U20" s="775"/>
      <c r="V20" s="774"/>
      <c r="W20" s="775"/>
      <c r="X20" s="1805"/>
      <c r="Y20" s="3200"/>
      <c r="Z20" s="1806"/>
      <c r="AA20" s="1803">
        <v>1</v>
      </c>
      <c r="AB20" s="1803">
        <v>1</v>
      </c>
      <c r="AC20" s="1803">
        <v>1</v>
      </c>
    </row>
    <row r="21" spans="1:29" ht="85.5">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0"/>
      <c r="Q21" s="1802" t="str">
        <f>B21</f>
        <v>交通便捷度</v>
      </c>
      <c r="R21" s="774" t="s">
        <v>17</v>
      </c>
      <c r="S21" s="775">
        <f>F21</f>
        <v>100</v>
      </c>
      <c r="T21" s="774" t="s">
        <v>17</v>
      </c>
      <c r="U21" s="775">
        <f>H21</f>
        <v>100</v>
      </c>
      <c r="V21" s="774" t="s">
        <v>17</v>
      </c>
      <c r="W21" s="775">
        <f>J21</f>
        <v>100</v>
      </c>
      <c r="X21" s="1805"/>
      <c r="Y21" s="3200"/>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200"/>
      <c r="Q22" s="1802"/>
      <c r="R22" s="774"/>
      <c r="S22" s="775"/>
      <c r="T22" s="774"/>
      <c r="U22" s="775"/>
      <c r="V22" s="774"/>
      <c r="W22" s="775"/>
      <c r="X22" s="1805"/>
      <c r="Y22" s="3200"/>
      <c r="Z22" s="1806"/>
      <c r="AA22" s="1803">
        <v>1</v>
      </c>
      <c r="AB22" s="1803">
        <v>1</v>
      </c>
      <c r="AC22" s="1803">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0"/>
      <c r="Q23" s="1802" t="str">
        <f t="shared" ref="Q23:Q37" si="8">B23</f>
        <v>区域土地利用方向</v>
      </c>
      <c r="R23" s="774" t="s">
        <v>17</v>
      </c>
      <c r="S23" s="775">
        <f>F23</f>
        <v>100</v>
      </c>
      <c r="T23" s="774" t="s">
        <v>17</v>
      </c>
      <c r="U23" s="775">
        <f>H23</f>
        <v>100</v>
      </c>
      <c r="V23" s="774" t="s">
        <v>17</v>
      </c>
      <c r="W23" s="775">
        <f>J23</f>
        <v>100</v>
      </c>
      <c r="X23" s="1805"/>
      <c r="Y23" s="3200"/>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200"/>
      <c r="Q24" s="1802"/>
      <c r="R24" s="774"/>
      <c r="S24" s="775"/>
      <c r="T24" s="774"/>
      <c r="U24" s="775"/>
      <c r="V24" s="774"/>
      <c r="W24" s="775"/>
      <c r="X24" s="1805"/>
      <c r="Y24" s="3200"/>
      <c r="Z24" s="1806"/>
      <c r="AA24" s="1803"/>
      <c r="AB24" s="1803"/>
      <c r="AC24" s="1803"/>
    </row>
    <row r="25" spans="1:29" ht="57">
      <c r="A25" s="404"/>
      <c r="B25" s="1384"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0"/>
      <c r="Q25" s="1802" t="str">
        <f t="shared" si="8"/>
        <v>自然及人文环境状况</v>
      </c>
      <c r="R25" s="774" t="s">
        <v>17</v>
      </c>
      <c r="S25" s="775">
        <f>F25</f>
        <v>100</v>
      </c>
      <c r="T25" s="774" t="s">
        <v>17</v>
      </c>
      <c r="U25" s="775">
        <f>H25</f>
        <v>100</v>
      </c>
      <c r="V25" s="774" t="s">
        <v>17</v>
      </c>
      <c r="W25" s="775">
        <f>J25</f>
        <v>100</v>
      </c>
      <c r="X25" s="1805"/>
      <c r="Y25" s="3200"/>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200"/>
      <c r="Q26" s="1802"/>
      <c r="R26" s="774"/>
      <c r="S26" s="775"/>
      <c r="T26" s="774"/>
      <c r="U26" s="775"/>
      <c r="V26" s="774"/>
      <c r="W26" s="775"/>
      <c r="X26" s="1805"/>
      <c r="Y26" s="3200"/>
      <c r="Z26" s="1806"/>
      <c r="AA26" s="1803">
        <v>1</v>
      </c>
      <c r="AB26" s="1803">
        <v>1</v>
      </c>
      <c r="AC26" s="1803">
        <v>1</v>
      </c>
    </row>
    <row r="27" spans="1:29" s="117" customFormat="1" ht="42.75">
      <c r="A27" s="649"/>
      <c r="B27" s="1384"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0"/>
      <c r="Q27" s="1787" t="str">
        <f t="shared" si="8"/>
        <v>公共配套设施</v>
      </c>
      <c r="R27" s="770" t="s">
        <v>17</v>
      </c>
      <c r="S27" s="771">
        <f>F27</f>
        <v>100</v>
      </c>
      <c r="T27" s="770" t="s">
        <v>17</v>
      </c>
      <c r="U27" s="771">
        <f>H27</f>
        <v>100</v>
      </c>
      <c r="V27" s="770" t="s">
        <v>17</v>
      </c>
      <c r="W27" s="771">
        <f>J27</f>
        <v>100</v>
      </c>
      <c r="X27" s="772"/>
      <c r="Y27" s="3200"/>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200"/>
      <c r="Q28" s="1787"/>
      <c r="R28" s="770"/>
      <c r="S28" s="771"/>
      <c r="T28" s="770"/>
      <c r="U28" s="771"/>
      <c r="V28" s="770"/>
      <c r="W28" s="771"/>
      <c r="X28" s="772"/>
      <c r="Y28" s="3200"/>
      <c r="Z28" s="55"/>
      <c r="AA28" s="1803">
        <v>1</v>
      </c>
      <c r="AB28" s="1803">
        <v>1</v>
      </c>
      <c r="AC28" s="1803">
        <v>1</v>
      </c>
    </row>
    <row r="29" spans="1:29" s="117" customFormat="1" ht="28.5">
      <c r="A29" s="649"/>
      <c r="B29" s="1384"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0"/>
      <c r="Q29" s="1787" t="str">
        <f t="shared" ref="Q29" si="9">B29</f>
        <v>基础设施水平</v>
      </c>
      <c r="R29" s="770" t="s">
        <v>17</v>
      </c>
      <c r="S29" s="771">
        <f>F29</f>
        <v>100</v>
      </c>
      <c r="T29" s="770" t="s">
        <v>17</v>
      </c>
      <c r="U29" s="771">
        <f>H29</f>
        <v>100</v>
      </c>
      <c r="V29" s="770" t="s">
        <v>17</v>
      </c>
      <c r="W29" s="771">
        <f>J29</f>
        <v>100</v>
      </c>
      <c r="X29" s="772"/>
      <c r="Y29" s="3200"/>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200"/>
      <c r="Q30" s="1787"/>
      <c r="R30" s="770"/>
      <c r="S30" s="771"/>
      <c r="T30" s="770"/>
      <c r="U30" s="771"/>
      <c r="V30" s="770"/>
      <c r="W30" s="771"/>
      <c r="X30" s="772"/>
      <c r="Y30" s="3200"/>
      <c r="Z30" s="55"/>
      <c r="AA30" s="1803">
        <v>1</v>
      </c>
      <c r="AB30" s="1803">
        <v>1</v>
      </c>
      <c r="AC30" s="1803">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0"/>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00"/>
      <c r="Z31" s="1806" t="str">
        <f t="shared" ref="Z31:Z45" si="13">Q31</f>
        <v>临街状况</v>
      </c>
      <c r="AA31" s="1803">
        <f t="shared" si="3"/>
        <v>1</v>
      </c>
      <c r="AB31" s="1803">
        <f t="shared" si="4"/>
        <v>1</v>
      </c>
      <c r="AC31" s="1803">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0"/>
      <c r="Q32" s="1802" t="str">
        <f t="shared" si="8"/>
        <v>毗邻道路的类型与等级</v>
      </c>
      <c r="R32" s="774" t="s">
        <v>17</v>
      </c>
      <c r="S32" s="775">
        <f t="shared" si="10"/>
        <v>100</v>
      </c>
      <c r="T32" s="774" t="s">
        <v>17</v>
      </c>
      <c r="U32" s="775">
        <f t="shared" si="11"/>
        <v>100</v>
      </c>
      <c r="V32" s="774" t="s">
        <v>17</v>
      </c>
      <c r="W32" s="775">
        <f t="shared" si="12"/>
        <v>100</v>
      </c>
      <c r="X32" s="1805"/>
      <c r="Y32" s="3200"/>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200"/>
      <c r="Q33" s="1802"/>
      <c r="R33" s="774"/>
      <c r="S33" s="775"/>
      <c r="T33" s="774"/>
      <c r="U33" s="775"/>
      <c r="V33" s="774"/>
      <c r="W33" s="775"/>
      <c r="X33" s="1805"/>
      <c r="Y33" s="3200"/>
      <c r="Z33" s="1806"/>
      <c r="AA33" s="1803">
        <v>1</v>
      </c>
      <c r="AB33" s="1803">
        <v>1</v>
      </c>
      <c r="AC33" s="180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0"/>
      <c r="Q34" s="1802" t="str">
        <f t="shared" si="8"/>
        <v>土地级别</v>
      </c>
      <c r="R34" s="774" t="s">
        <v>17</v>
      </c>
      <c r="S34" s="775">
        <f t="shared" si="10"/>
        <v>100</v>
      </c>
      <c r="T34" s="774" t="s">
        <v>17</v>
      </c>
      <c r="U34" s="775">
        <f t="shared" si="11"/>
        <v>100</v>
      </c>
      <c r="V34" s="774" t="s">
        <v>17</v>
      </c>
      <c r="W34" s="775">
        <f t="shared" si="12"/>
        <v>100</v>
      </c>
      <c r="X34" s="1805"/>
      <c r="Y34" s="3200"/>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0"/>
      <c r="Q35" s="1802">
        <f t="shared" si="8"/>
        <v>111</v>
      </c>
      <c r="R35" s="774" t="s">
        <v>17</v>
      </c>
      <c r="S35" s="775">
        <f t="shared" si="10"/>
        <v>100</v>
      </c>
      <c r="T35" s="774" t="s">
        <v>17</v>
      </c>
      <c r="U35" s="775">
        <f t="shared" si="11"/>
        <v>100</v>
      </c>
      <c r="V35" s="774" t="s">
        <v>17</v>
      </c>
      <c r="W35" s="775">
        <f t="shared" si="12"/>
        <v>100</v>
      </c>
      <c r="X35" s="1805"/>
      <c r="Y35" s="3200"/>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5" t="s">
        <v>2565</v>
      </c>
      <c r="Q36" s="1802">
        <f t="shared" si="8"/>
        <v>111</v>
      </c>
      <c r="R36" s="774" t="s">
        <v>17</v>
      </c>
      <c r="S36" s="775">
        <f t="shared" si="10"/>
        <v>100</v>
      </c>
      <c r="T36" s="774" t="s">
        <v>17</v>
      </c>
      <c r="U36" s="775">
        <f t="shared" si="11"/>
        <v>100</v>
      </c>
      <c r="V36" s="774" t="s">
        <v>17</v>
      </c>
      <c r="W36" s="775">
        <f t="shared" si="12"/>
        <v>100</v>
      </c>
      <c r="X36" s="1805"/>
      <c r="Y36" s="3204" t="s">
        <v>2565</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4"/>
      <c r="Q37" s="1802">
        <f t="shared" si="8"/>
        <v>111</v>
      </c>
      <c r="R37" s="777" t="s">
        <v>17</v>
      </c>
      <c r="S37" s="778">
        <f t="shared" si="10"/>
        <v>100</v>
      </c>
      <c r="T37" s="777" t="s">
        <v>17</v>
      </c>
      <c r="U37" s="778">
        <f t="shared" si="11"/>
        <v>100</v>
      </c>
      <c r="V37" s="777" t="s">
        <v>17</v>
      </c>
      <c r="W37" s="778">
        <f t="shared" si="12"/>
        <v>100</v>
      </c>
      <c r="X37" s="779"/>
      <c r="Y37" s="3204"/>
      <c r="Z37" s="780">
        <f t="shared" si="13"/>
        <v>111</v>
      </c>
      <c r="AA37" s="1803">
        <f t="shared" si="3"/>
        <v>1</v>
      </c>
      <c r="AB37" s="1803">
        <f t="shared" si="4"/>
        <v>1</v>
      </c>
      <c r="AC37" s="1803">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4"/>
      <c r="Q38" s="1802" t="str">
        <f>B38</f>
        <v>宗地面积</v>
      </c>
      <c r="R38" s="774" t="s">
        <v>17</v>
      </c>
      <c r="S38" s="775" t="e">
        <f t="shared" si="10"/>
        <v>#N/A</v>
      </c>
      <c r="T38" s="774" t="s">
        <v>17</v>
      </c>
      <c r="U38" s="775" t="e">
        <f t="shared" si="11"/>
        <v>#N/A</v>
      </c>
      <c r="V38" s="774" t="s">
        <v>17</v>
      </c>
      <c r="W38" s="775" t="e">
        <f t="shared" si="12"/>
        <v>#N/A</v>
      </c>
      <c r="X38" s="1805"/>
      <c r="Y38" s="3204"/>
      <c r="Z38" s="1806" t="str">
        <f t="shared" si="13"/>
        <v>宗地面积</v>
      </c>
      <c r="AA38" s="1803" t="e">
        <f t="shared" si="3"/>
        <v>#N/A</v>
      </c>
      <c r="AB38" s="1803" t="e">
        <f t="shared" si="4"/>
        <v>#N/A</v>
      </c>
      <c r="AC38" s="1803" t="e">
        <f t="shared" si="5"/>
        <v>#N/A</v>
      </c>
    </row>
    <row r="39" spans="1:29" ht="15">
      <c r="A39" s="472"/>
      <c r="B39" s="422" t="s">
        <v>2752</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04"/>
      <c r="Q39" s="1802" t="str">
        <f t="shared" ref="Q39:Q45" si="14">B39</f>
        <v>宗地形状</v>
      </c>
      <c r="R39" s="774" t="s">
        <v>17</v>
      </c>
      <c r="S39" s="775">
        <f t="shared" si="10"/>
        <v>100</v>
      </c>
      <c r="T39" s="774" t="s">
        <v>17</v>
      </c>
      <c r="U39" s="775">
        <f t="shared" si="11"/>
        <v>100</v>
      </c>
      <c r="V39" s="774" t="s">
        <v>17</v>
      </c>
      <c r="W39" s="775">
        <f t="shared" si="12"/>
        <v>100</v>
      </c>
      <c r="X39" s="1805"/>
      <c r="Y39" s="3204"/>
      <c r="Z39" s="1806" t="str">
        <f t="shared" si="13"/>
        <v>宗地形状</v>
      </c>
      <c r="AA39" s="1803">
        <f t="shared" si="3"/>
        <v>1</v>
      </c>
      <c r="AB39" s="1803">
        <f t="shared" si="4"/>
        <v>1</v>
      </c>
      <c r="AC39" s="1803">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04"/>
      <c r="Q40" s="1802" t="str">
        <f t="shared" si="14"/>
        <v>临街宽度及深度</v>
      </c>
      <c r="R40" s="774" t="s">
        <v>17</v>
      </c>
      <c r="S40" s="775">
        <f t="shared" si="10"/>
        <v>100</v>
      </c>
      <c r="T40" s="774" t="s">
        <v>17</v>
      </c>
      <c r="U40" s="775">
        <f t="shared" si="11"/>
        <v>100</v>
      </c>
      <c r="V40" s="774" t="s">
        <v>17</v>
      </c>
      <c r="W40" s="775">
        <f t="shared" si="12"/>
        <v>100</v>
      </c>
      <c r="X40" s="1805"/>
      <c r="Y40" s="3204"/>
      <c r="Z40" s="1806" t="str">
        <f t="shared" si="13"/>
        <v>临街宽度及深度</v>
      </c>
      <c r="AA40" s="1803">
        <f t="shared" si="3"/>
        <v>1</v>
      </c>
      <c r="AB40" s="1803">
        <f t="shared" si="4"/>
        <v>1</v>
      </c>
      <c r="AC40" s="1803">
        <f t="shared" si="5"/>
        <v>1</v>
      </c>
    </row>
    <row r="41" spans="1:29" s="117" customFormat="1" ht="15">
      <c r="A41" s="473"/>
      <c r="B41" s="422" t="s">
        <v>2754</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04"/>
      <c r="Q41" s="1802" t="str">
        <f t="shared" si="14"/>
        <v>宗地开发程度</v>
      </c>
      <c r="R41" s="770" t="s">
        <v>17</v>
      </c>
      <c r="S41" s="771">
        <f t="shared" si="10"/>
        <v>100</v>
      </c>
      <c r="T41" s="770" t="s">
        <v>17</v>
      </c>
      <c r="U41" s="771">
        <f t="shared" si="11"/>
        <v>100</v>
      </c>
      <c r="V41" s="770" t="s">
        <v>17</v>
      </c>
      <c r="W41" s="771">
        <f t="shared" si="12"/>
        <v>100</v>
      </c>
      <c r="X41" s="772"/>
      <c r="Y41" s="3204"/>
      <c r="Z41" s="55" t="str">
        <f t="shared" si="13"/>
        <v>宗地开发程度</v>
      </c>
      <c r="AA41" s="773">
        <f t="shared" si="3"/>
        <v>1</v>
      </c>
      <c r="AB41" s="773">
        <f t="shared" si="4"/>
        <v>1</v>
      </c>
      <c r="AC41" s="773">
        <f t="shared" si="5"/>
        <v>1</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04" t="s">
        <v>2565</v>
      </c>
      <c r="Q42" s="1802" t="str">
        <f t="shared" si="14"/>
        <v>工程地质条件</v>
      </c>
      <c r="R42" s="774" t="s">
        <v>17</v>
      </c>
      <c r="S42" s="775">
        <f t="shared" si="10"/>
        <v>100</v>
      </c>
      <c r="T42" s="774" t="s">
        <v>17</v>
      </c>
      <c r="U42" s="775">
        <f t="shared" si="11"/>
        <v>100</v>
      </c>
      <c r="V42" s="774" t="s">
        <v>17</v>
      </c>
      <c r="W42" s="775">
        <f t="shared" si="12"/>
        <v>100</v>
      </c>
      <c r="X42" s="1805"/>
      <c r="Y42" s="3204" t="s">
        <v>2565</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4"/>
      <c r="Q43" s="1802">
        <f t="shared" si="14"/>
        <v>111</v>
      </c>
      <c r="R43" s="774" t="s">
        <v>17</v>
      </c>
      <c r="S43" s="775">
        <f t="shared" si="10"/>
        <v>100</v>
      </c>
      <c r="T43" s="774" t="s">
        <v>17</v>
      </c>
      <c r="U43" s="775">
        <f t="shared" si="11"/>
        <v>100</v>
      </c>
      <c r="V43" s="774" t="s">
        <v>17</v>
      </c>
      <c r="W43" s="775">
        <f t="shared" si="12"/>
        <v>100</v>
      </c>
      <c r="X43" s="1805"/>
      <c r="Y43" s="3204"/>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4"/>
      <c r="Q44" s="1802">
        <f t="shared" si="14"/>
        <v>111</v>
      </c>
      <c r="R44" s="774" t="s">
        <v>17</v>
      </c>
      <c r="S44" s="775">
        <f t="shared" si="10"/>
        <v>100</v>
      </c>
      <c r="T44" s="774" t="s">
        <v>17</v>
      </c>
      <c r="U44" s="775">
        <f t="shared" si="11"/>
        <v>100</v>
      </c>
      <c r="V44" s="774" t="s">
        <v>17</v>
      </c>
      <c r="W44" s="775">
        <f t="shared" si="12"/>
        <v>100</v>
      </c>
      <c r="X44" s="1805"/>
      <c r="Y44" s="3204"/>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4"/>
      <c r="Q45" s="1802">
        <f t="shared" si="14"/>
        <v>111</v>
      </c>
      <c r="R45" s="777" t="s">
        <v>17</v>
      </c>
      <c r="S45" s="778">
        <f t="shared" si="10"/>
        <v>100</v>
      </c>
      <c r="T45" s="777" t="s">
        <v>17</v>
      </c>
      <c r="U45" s="778">
        <f t="shared" si="11"/>
        <v>100</v>
      </c>
      <c r="V45" s="777" t="s">
        <v>17</v>
      </c>
      <c r="W45" s="778">
        <f t="shared" si="12"/>
        <v>100</v>
      </c>
      <c r="X45" s="779"/>
      <c r="Y45" s="3204"/>
      <c r="Z45" s="780">
        <f t="shared" si="13"/>
        <v>111</v>
      </c>
      <c r="AA45" s="1803">
        <f t="shared" si="3"/>
        <v>1</v>
      </c>
      <c r="AB45" s="1803">
        <f t="shared" si="4"/>
        <v>1</v>
      </c>
      <c r="AC45" s="1803">
        <f t="shared" si="5"/>
        <v>1</v>
      </c>
    </row>
    <row r="46" spans="1:29" ht="15">
      <c r="A46" s="479" t="s">
        <v>2720</v>
      </c>
      <c r="B46" s="2697" t="s">
        <v>2756</v>
      </c>
      <c r="C46" s="682" t="s">
        <v>1</v>
      </c>
      <c r="D46" s="481"/>
      <c r="E46" s="482"/>
      <c r="F46" s="483"/>
      <c r="G46" s="484"/>
      <c r="H46" s="485"/>
      <c r="I46" s="482"/>
      <c r="J46" s="485"/>
      <c r="K46" s="783"/>
      <c r="L46" s="1143"/>
      <c r="M46" s="1144"/>
      <c r="N46" s="1131"/>
      <c r="O46" s="1144"/>
      <c r="P46" s="3197" t="str">
        <f>A46</f>
        <v>成交单价</v>
      </c>
      <c r="Q46" s="3197"/>
      <c r="R46" s="3228">
        <f>E46</f>
        <v>0</v>
      </c>
      <c r="S46" s="3228"/>
      <c r="T46" s="3228">
        <f>G46</f>
        <v>0</v>
      </c>
      <c r="U46" s="3228"/>
      <c r="V46" s="3228">
        <f>I46</f>
        <v>0</v>
      </c>
      <c r="W46" s="3228"/>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97" t="str">
        <f>A47</f>
        <v>比较价值（元/平方米）</v>
      </c>
      <c r="Q47" s="3197"/>
      <c r="R47" s="3256" t="e">
        <f>ROUND(PRODUCT(R46,AA7:AA45),0)</f>
        <v>#DIV/0!</v>
      </c>
      <c r="S47" s="3256"/>
      <c r="T47" s="3256" t="e">
        <f>ROUND(PRODUCT(T46,AB7:AB45),0)</f>
        <v>#DIV/0!</v>
      </c>
      <c r="U47" s="3256"/>
      <c r="V47" s="3256" t="e">
        <f>ROUND(PRODUCT(V46,AC7:AC45),0)</f>
        <v>#DIV/0!</v>
      </c>
      <c r="W47" s="3256"/>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94" t="str">
        <f>A48</f>
        <v>估价对象XX用房的比较价值（楼面单价，元/平方米）</v>
      </c>
      <c r="Q48" s="3195"/>
      <c r="R48" s="3257" t="e">
        <f>ROUND(AVERAGE(R47:V47),0)</f>
        <v>#DIV/0!</v>
      </c>
      <c r="S48" s="3257"/>
      <c r="T48" s="3257"/>
      <c r="U48" s="3257"/>
      <c r="V48" s="3257"/>
      <c r="W48" s="325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8" t="s">
        <v>2760</v>
      </c>
      <c r="D55" s="2699" t="s">
        <v>2761</v>
      </c>
      <c r="E55" s="686" t="s">
        <v>2762</v>
      </c>
      <c r="F55" s="1107" t="s">
        <v>2763</v>
      </c>
      <c r="G55" s="3212" t="s">
        <v>2764</v>
      </c>
      <c r="H55" s="3258"/>
      <c r="I55" s="144" t="s">
        <v>2765</v>
      </c>
      <c r="J55" s="2700" t="str">
        <f>项目基本情况!F35</f>
        <v>同观商业中心</v>
      </c>
      <c r="K55" s="2701" t="s">
        <v>2766</v>
      </c>
      <c r="L55" s="1106"/>
      <c r="M55" s="1144"/>
      <c r="N55" s="1144"/>
      <c r="O55" s="1144"/>
    </row>
    <row r="56" spans="1:15" s="692" customFormat="1">
      <c r="A56" s="688" t="s">
        <v>2767</v>
      </c>
      <c r="B56" s="689" t="e">
        <f>C48</f>
        <v>#DIV/0!</v>
      </c>
      <c r="C56" s="690">
        <v>1</v>
      </c>
      <c r="D56" s="1163">
        <v>1</v>
      </c>
      <c r="E56" s="690">
        <f>'数据-汇总表'!E8+'数据-汇总表'!E9</f>
        <v>6400</v>
      </c>
      <c r="F56" s="1103" t="e">
        <f t="shared" ref="F56:F65" si="15">ROUND(B56*E56/10000,0)</f>
        <v>#DIV/0!</v>
      </c>
      <c r="G56" s="3208"/>
      <c r="H56" s="3197"/>
      <c r="I56" s="1108">
        <v>1</v>
      </c>
      <c r="J56" s="1111">
        <v>1</v>
      </c>
      <c r="K56" s="1145"/>
      <c r="L56" s="941"/>
      <c r="M56" s="941"/>
      <c r="N56" s="941"/>
      <c r="O56" s="941"/>
    </row>
    <row r="57" spans="1:15" s="692" customFormat="1">
      <c r="A57" s="693" t="s">
        <v>2768</v>
      </c>
      <c r="B57" s="262" t="e">
        <f>ROUND($C$48*C57*D57,0)</f>
        <v>#DIV/0!</v>
      </c>
      <c r="C57" s="200">
        <f t="shared" ref="C57:C65" si="16">IF($C$55="北京市系数",I57,J57)</f>
        <v>0.7</v>
      </c>
      <c r="D57" s="1164">
        <v>0.25</v>
      </c>
      <c r="E57" s="694"/>
      <c r="F57" s="1103" t="e">
        <f t="shared" si="15"/>
        <v>#DIV/0!</v>
      </c>
      <c r="G57" s="3259" t="s">
        <v>2769</v>
      </c>
      <c r="H57" s="1104" t="str">
        <f>项目基本情况!B37</f>
        <v>四级</v>
      </c>
      <c r="I57" s="1108">
        <f>SUMIF(修正!A45:A56,H57,修正!B45:B56)</f>
        <v>0.7</v>
      </c>
      <c r="J57" s="1112"/>
      <c r="K57" s="1144"/>
      <c r="L57" s="941"/>
      <c r="M57" s="941"/>
      <c r="N57" s="941"/>
      <c r="O57" s="941"/>
    </row>
    <row r="58" spans="1:15" s="692" customFormat="1">
      <c r="A58" s="693" t="s">
        <v>2770</v>
      </c>
      <c r="B58" s="262" t="e">
        <f t="shared" ref="B58:B65" si="17">ROUND($C$48*C58*D58,0)</f>
        <v>#DIV/0!</v>
      </c>
      <c r="C58" s="200">
        <f t="shared" si="16"/>
        <v>0.4</v>
      </c>
      <c r="D58" s="1164">
        <v>0.25</v>
      </c>
      <c r="E58" s="694"/>
      <c r="F58" s="1103" t="e">
        <f t="shared" si="15"/>
        <v>#DIV/0!</v>
      </c>
      <c r="G58" s="3259"/>
      <c r="H58" s="1104" t="str">
        <f>项目基本情况!B37</f>
        <v>四级</v>
      </c>
      <c r="I58" s="1108">
        <f>SUMIF(修正!A45:A56,H58,修正!C45:C56)</f>
        <v>0.4</v>
      </c>
      <c r="J58" s="1112"/>
      <c r="K58" s="1145"/>
      <c r="L58" s="941"/>
      <c r="M58" s="941"/>
      <c r="N58" s="941"/>
      <c r="O58" s="941"/>
    </row>
    <row r="59" spans="1:15" s="692" customFormat="1">
      <c r="A59" s="693" t="s">
        <v>2771</v>
      </c>
      <c r="B59" s="262" t="e">
        <f t="shared" si="17"/>
        <v>#DIV/0!</v>
      </c>
      <c r="C59" s="200">
        <f t="shared" si="16"/>
        <v>0.28000000000000003</v>
      </c>
      <c r="D59" s="1164">
        <v>0.25</v>
      </c>
      <c r="E59" s="694"/>
      <c r="F59" s="1103" t="e">
        <f t="shared" si="15"/>
        <v>#DIV/0!</v>
      </c>
      <c r="G59" s="3259"/>
      <c r="H59" s="1104" t="str">
        <f>项目基本情况!B37</f>
        <v>四级</v>
      </c>
      <c r="I59" s="1108">
        <f>SUMIF(修正!A45:A56,H59,修正!D45:D56)</f>
        <v>0.28000000000000003</v>
      </c>
      <c r="J59" s="1112"/>
      <c r="K59" s="1144"/>
      <c r="L59" s="941"/>
      <c r="M59" s="941"/>
      <c r="N59" s="941"/>
      <c r="O59" s="941"/>
    </row>
    <row r="60" spans="1:15" s="692" customFormat="1">
      <c r="A60" s="693" t="s">
        <v>2772</v>
      </c>
      <c r="B60" s="262" t="e">
        <f t="shared" si="17"/>
        <v>#DIV/0!</v>
      </c>
      <c r="C60" s="200">
        <f t="shared" si="16"/>
        <v>0.25</v>
      </c>
      <c r="D60" s="1164">
        <v>0.25</v>
      </c>
      <c r="E60" s="694"/>
      <c r="F60" s="1103" t="e">
        <f t="shared" si="15"/>
        <v>#DIV/0!</v>
      </c>
      <c r="G60" s="3259"/>
      <c r="H60" s="1104" t="str">
        <f>项目基本情况!B37</f>
        <v>四级</v>
      </c>
      <c r="I60" s="1108">
        <f>SUMIF(修正!A45:A56,H60,修正!E45:E56)</f>
        <v>0.25</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0.2</v>
      </c>
      <c r="D64" s="1164">
        <v>0.25</v>
      </c>
      <c r="E64" s="261">
        <f>'数据-汇总表'!E14</f>
        <v>0</v>
      </c>
      <c r="F64" s="1103" t="e">
        <f t="shared" si="15"/>
        <v>#DIV/0!</v>
      </c>
      <c r="G64" s="2702" t="s">
        <v>2769</v>
      </c>
      <c r="H64" s="1104" t="str">
        <f>项目基本情况!B37</f>
        <v>四级</v>
      </c>
      <c r="I64" s="1108">
        <f>SUMIF(修正!A45:A56,H64,修正!H45:H56)</f>
        <v>0.2</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0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6400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04" t="s">
        <v>2782</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5" t="s">
        <v>2783</v>
      </c>
      <c r="B71" s="332" t="str">
        <f>"北京市平均增长率"&amp;TEXT(SUMIF('基准地价修正（1层+地下1层）'!N21:N25,A71,'基准地价修正（1层+地下1层）'!P21:P25),"0.00%")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12" t="s">
        <v>2646</v>
      </c>
      <c r="D4" s="3213"/>
      <c r="E4" s="3214" t="s">
        <v>2647</v>
      </c>
      <c r="F4" s="3215"/>
      <c r="G4" s="3212" t="s">
        <v>2648</v>
      </c>
      <c r="H4" s="3213"/>
      <c r="I4" s="3212" t="s">
        <v>2649</v>
      </c>
      <c r="J4" s="3213"/>
      <c r="K4" s="610" t="s">
        <v>2650</v>
      </c>
      <c r="L4" s="1130"/>
      <c r="M4" s="1131"/>
      <c r="N4" s="1131"/>
      <c r="O4" s="1131"/>
      <c r="P4" s="3216" t="s">
        <v>2651</v>
      </c>
      <c r="Q4" s="3217"/>
      <c r="R4" s="3222" t="s">
        <v>2647</v>
      </c>
      <c r="S4" s="3223"/>
      <c r="T4" s="3222" t="s">
        <v>2648</v>
      </c>
      <c r="U4" s="3223"/>
      <c r="V4" s="3228" t="s">
        <v>2649</v>
      </c>
      <c r="W4" s="3228"/>
      <c r="X4" s="1805"/>
      <c r="Y4" s="3222" t="s">
        <v>2651</v>
      </c>
      <c r="Z4" s="3223"/>
      <c r="AA4" s="3209" t="s">
        <v>2647</v>
      </c>
      <c r="AB4" s="3210" t="s">
        <v>2648</v>
      </c>
      <c r="AC4" s="3209" t="s">
        <v>2649</v>
      </c>
    </row>
    <row r="5" spans="1:29" ht="15">
      <c r="A5" s="404"/>
      <c r="B5" s="405"/>
      <c r="C5" s="3231" t="s">
        <v>2542</v>
      </c>
      <c r="D5" s="3232"/>
      <c r="E5" s="3238" t="s">
        <v>2543</v>
      </c>
      <c r="F5" s="3239"/>
      <c r="G5" s="3231" t="s">
        <v>2544</v>
      </c>
      <c r="H5" s="3232"/>
      <c r="I5" s="3231" t="s">
        <v>2545</v>
      </c>
      <c r="J5" s="3232"/>
      <c r="K5" s="610"/>
      <c r="L5" s="1130"/>
      <c r="M5" s="1131"/>
      <c r="N5" s="1131"/>
      <c r="O5" s="1131"/>
      <c r="P5" s="3218"/>
      <c r="Q5" s="3219"/>
      <c r="R5" s="3224"/>
      <c r="S5" s="3225"/>
      <c r="T5" s="3224"/>
      <c r="U5" s="3225"/>
      <c r="V5" s="3228"/>
      <c r="W5" s="3228"/>
      <c r="X5" s="1805"/>
      <c r="Y5" s="3224"/>
      <c r="Z5" s="3225"/>
      <c r="AA5" s="3210"/>
      <c r="AB5" s="3210"/>
      <c r="AC5" s="3210"/>
    </row>
    <row r="6" spans="1:29" ht="15.75" thickBot="1">
      <c r="A6" s="406"/>
      <c r="B6" s="407"/>
      <c r="C6" s="3260" t="s">
        <v>2797</v>
      </c>
      <c r="D6" s="3261"/>
      <c r="E6" s="3262" t="s">
        <v>2797</v>
      </c>
      <c r="F6" s="3263"/>
      <c r="G6" s="3260" t="s">
        <v>2797</v>
      </c>
      <c r="H6" s="3261"/>
      <c r="I6" s="3260" t="s">
        <v>2797</v>
      </c>
      <c r="J6" s="3261"/>
      <c r="K6" s="610" t="s">
        <v>2547</v>
      </c>
      <c r="L6" s="1130"/>
      <c r="M6" s="1131"/>
      <c r="N6" s="1131"/>
      <c r="O6" s="1131"/>
      <c r="P6" s="3220"/>
      <c r="Q6" s="3221"/>
      <c r="R6" s="3224"/>
      <c r="S6" s="3225"/>
      <c r="T6" s="3226"/>
      <c r="U6" s="3227"/>
      <c r="V6" s="3228"/>
      <c r="W6" s="3228"/>
      <c r="X6" s="1805"/>
      <c r="Y6" s="3226"/>
      <c r="Z6" s="3227"/>
      <c r="AA6" s="3211"/>
      <c r="AB6" s="3211"/>
      <c r="AC6" s="3211"/>
    </row>
    <row r="7" spans="1:29" s="117" customFormat="1" ht="15.75" thickBot="1">
      <c r="A7" s="408" t="s">
        <v>2548</v>
      </c>
      <c r="B7" s="409"/>
      <c r="C7" s="410">
        <f>'数据-取费表'!B2</f>
        <v>44019</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33" t="s">
        <v>2549</v>
      </c>
      <c r="Q7" s="3235"/>
      <c r="R7" s="770" t="s">
        <v>17</v>
      </c>
      <c r="S7" s="771">
        <f t="shared" ref="S7:S15" si="0">F7</f>
        <v>0</v>
      </c>
      <c r="T7" s="770" t="s">
        <v>17</v>
      </c>
      <c r="U7" s="771">
        <f t="shared" ref="U7:U15" si="1">H7</f>
        <v>0</v>
      </c>
      <c r="V7" s="770" t="s">
        <v>17</v>
      </c>
      <c r="W7" s="771">
        <f t="shared" ref="W7:W15" si="2">J7</f>
        <v>0</v>
      </c>
      <c r="X7" s="772"/>
      <c r="Y7" s="3233" t="s">
        <v>2549</v>
      </c>
      <c r="Z7" s="3234"/>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3" t="s">
        <v>2552</v>
      </c>
      <c r="Q8" s="3234"/>
      <c r="R8" s="770" t="s">
        <v>17</v>
      </c>
      <c r="S8" s="771">
        <f t="shared" si="0"/>
        <v>0</v>
      </c>
      <c r="T8" s="770" t="s">
        <v>17</v>
      </c>
      <c r="U8" s="771">
        <f t="shared" si="1"/>
        <v>0</v>
      </c>
      <c r="V8" s="770" t="s">
        <v>17</v>
      </c>
      <c r="W8" s="771">
        <f t="shared" si="2"/>
        <v>0</v>
      </c>
      <c r="X8" s="772"/>
      <c r="Y8" s="3233" t="s">
        <v>2552</v>
      </c>
      <c r="Z8" s="3234"/>
      <c r="AA8" s="773" t="e">
        <f t="shared" ref="AA8:AA40" si="3">D8/F8</f>
        <v>#DIV/0!</v>
      </c>
      <c r="AB8" s="773" t="e">
        <f t="shared" ref="AB8:AB40" si="4">D8/H8</f>
        <v>#DIV/0!</v>
      </c>
      <c r="AC8" s="773" t="e">
        <f t="shared" ref="AC8:AC40" si="5">D8/J8</f>
        <v>#DIV/0!</v>
      </c>
    </row>
    <row r="9" spans="1:29" s="117" customFormat="1">
      <c r="A9" s="415" t="s">
        <v>2553</v>
      </c>
      <c r="B9" s="71" t="s">
        <v>2554</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197" t="s">
        <v>2555</v>
      </c>
      <c r="Q9" s="1787"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127</v>
      </c>
      <c r="G10" s="432"/>
      <c r="H10" s="136">
        <f>ROUND(100/'数据-取费表'!G16,0)</f>
        <v>127</v>
      </c>
      <c r="I10" s="432"/>
      <c r="J10" s="136">
        <f>ROUND(100/'数据-取费表'!G16,0)</f>
        <v>127</v>
      </c>
      <c r="K10" s="672"/>
      <c r="L10" s="1135"/>
      <c r="M10" s="1136"/>
      <c r="N10" s="1136"/>
      <c r="O10" s="1137"/>
      <c r="P10" s="3197"/>
      <c r="Q10" s="1787" t="str">
        <f t="shared" si="6"/>
        <v>土地使用年限（年）</v>
      </c>
      <c r="R10" s="770" t="s">
        <v>17</v>
      </c>
      <c r="S10" s="771">
        <f t="shared" si="0"/>
        <v>127</v>
      </c>
      <c r="T10" s="770" t="s">
        <v>17</v>
      </c>
      <c r="U10" s="771">
        <f t="shared" si="1"/>
        <v>127</v>
      </c>
      <c r="V10" s="770" t="s">
        <v>17</v>
      </c>
      <c r="W10" s="771">
        <f t="shared" si="2"/>
        <v>127</v>
      </c>
      <c r="X10" s="772"/>
      <c r="Y10" s="3020"/>
      <c r="Z10" s="55" t="str">
        <f t="shared" si="7"/>
        <v>土地使用年限（年）</v>
      </c>
      <c r="AA10" s="773">
        <f t="shared" si="3"/>
        <v>0.78740157480314965</v>
      </c>
      <c r="AB10" s="773">
        <f t="shared" si="4"/>
        <v>0.78740157480314965</v>
      </c>
      <c r="AC10" s="773">
        <f t="shared" si="5"/>
        <v>0.78740157480314965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7"/>
      <c r="Q11" s="178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7"/>
      <c r="Q12" s="178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7"/>
      <c r="Q13" s="178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7"/>
      <c r="Q14" s="178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2559</v>
      </c>
      <c r="B15" s="629" t="s">
        <v>2798</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9" t="s">
        <v>2560</v>
      </c>
      <c r="Q15" s="1802" t="str">
        <f t="shared" si="6"/>
        <v>产业集聚程度</v>
      </c>
      <c r="R15" s="774" t="s">
        <v>17</v>
      </c>
      <c r="S15" s="775">
        <f t="shared" si="0"/>
        <v>100</v>
      </c>
      <c r="T15" s="774" t="s">
        <v>17</v>
      </c>
      <c r="U15" s="775">
        <f t="shared" si="1"/>
        <v>100</v>
      </c>
      <c r="V15" s="774" t="s">
        <v>17</v>
      </c>
      <c r="W15" s="775">
        <f t="shared" si="2"/>
        <v>100</v>
      </c>
      <c r="X15" s="1805"/>
      <c r="Y15" s="3199" t="s">
        <v>2560</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200"/>
      <c r="Q16" s="1802"/>
      <c r="R16" s="774"/>
      <c r="S16" s="775"/>
      <c r="T16" s="774"/>
      <c r="U16" s="775"/>
      <c r="V16" s="774"/>
      <c r="W16" s="775"/>
      <c r="X16" s="1805"/>
      <c r="Y16" s="3200"/>
      <c r="Z16" s="1806"/>
      <c r="AA16" s="1803">
        <v>1</v>
      </c>
      <c r="AB16" s="1803">
        <v>1</v>
      </c>
      <c r="AC16" s="1803">
        <v>1</v>
      </c>
    </row>
    <row r="17" spans="1:29" ht="85.5">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0"/>
      <c r="Q17" s="1802" t="str">
        <f>B17</f>
        <v>交通便捷度</v>
      </c>
      <c r="R17" s="774" t="s">
        <v>17</v>
      </c>
      <c r="S17" s="775">
        <f>F17</f>
        <v>100</v>
      </c>
      <c r="T17" s="774" t="s">
        <v>17</v>
      </c>
      <c r="U17" s="775">
        <f>H17</f>
        <v>100</v>
      </c>
      <c r="V17" s="774" t="s">
        <v>17</v>
      </c>
      <c r="W17" s="775">
        <f>J17</f>
        <v>100</v>
      </c>
      <c r="X17" s="1805"/>
      <c r="Y17" s="3200"/>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200"/>
      <c r="Q18" s="1802"/>
      <c r="R18" s="774"/>
      <c r="S18" s="775"/>
      <c r="T18" s="774"/>
      <c r="U18" s="775"/>
      <c r="V18" s="774"/>
      <c r="W18" s="775"/>
      <c r="X18" s="1805"/>
      <c r="Y18" s="3200"/>
      <c r="Z18" s="1806"/>
      <c r="AA18" s="1803">
        <v>1</v>
      </c>
      <c r="AB18" s="1803">
        <v>1</v>
      </c>
      <c r="AC18" s="1803">
        <v>1</v>
      </c>
    </row>
    <row r="19" spans="1:29" ht="15">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0"/>
      <c r="Q19" s="1802" t="str">
        <f t="shared" ref="Q19:Q33" si="8">B19</f>
        <v>区域土地利用方向</v>
      </c>
      <c r="R19" s="774" t="s">
        <v>17</v>
      </c>
      <c r="S19" s="775">
        <f>F19</f>
        <v>100</v>
      </c>
      <c r="T19" s="774" t="s">
        <v>17</v>
      </c>
      <c r="U19" s="775">
        <f>H19</f>
        <v>100</v>
      </c>
      <c r="V19" s="774" t="s">
        <v>17</v>
      </c>
      <c r="W19" s="775">
        <f>J19</f>
        <v>100</v>
      </c>
      <c r="X19" s="1805"/>
      <c r="Y19" s="3200"/>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200"/>
      <c r="Q20" s="1802"/>
      <c r="R20" s="774"/>
      <c r="S20" s="775"/>
      <c r="T20" s="774"/>
      <c r="U20" s="775"/>
      <c r="V20" s="774"/>
      <c r="W20" s="775"/>
      <c r="X20" s="1805"/>
      <c r="Y20" s="3200"/>
      <c r="Z20" s="1806"/>
      <c r="AA20" s="1803"/>
      <c r="AB20" s="1803"/>
      <c r="AC20" s="1803"/>
    </row>
    <row r="21" spans="1:29" ht="71.25">
      <c r="A21" s="404"/>
      <c r="B21" s="631" t="s">
        <v>2799</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0"/>
      <c r="Q21" s="1802" t="str">
        <f t="shared" si="8"/>
        <v>环境状况</v>
      </c>
      <c r="R21" s="774" t="s">
        <v>17</v>
      </c>
      <c r="S21" s="775">
        <f>F21</f>
        <v>100</v>
      </c>
      <c r="T21" s="774" t="s">
        <v>17</v>
      </c>
      <c r="U21" s="775">
        <f>H21</f>
        <v>100</v>
      </c>
      <c r="V21" s="774" t="s">
        <v>17</v>
      </c>
      <c r="W21" s="775">
        <f>J21</f>
        <v>100</v>
      </c>
      <c r="X21" s="1805"/>
      <c r="Y21" s="3200"/>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200"/>
      <c r="Q22" s="1802"/>
      <c r="R22" s="774"/>
      <c r="S22" s="775"/>
      <c r="T22" s="774"/>
      <c r="U22" s="775"/>
      <c r="V22" s="774"/>
      <c r="W22" s="775"/>
      <c r="X22" s="1805"/>
      <c r="Y22" s="3200"/>
      <c r="Z22" s="1806"/>
      <c r="AA22" s="1803">
        <v>1</v>
      </c>
      <c r="AB22" s="1803">
        <v>1</v>
      </c>
      <c r="AC22" s="1803">
        <v>1</v>
      </c>
    </row>
    <row r="23" spans="1:29" s="117" customFormat="1" ht="42.75">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0"/>
      <c r="Q23" s="1787" t="str">
        <f t="shared" si="8"/>
        <v>公共配套设施</v>
      </c>
      <c r="R23" s="770" t="s">
        <v>17</v>
      </c>
      <c r="S23" s="771">
        <f>F23</f>
        <v>100</v>
      </c>
      <c r="T23" s="770" t="s">
        <v>17</v>
      </c>
      <c r="U23" s="771">
        <f>H23</f>
        <v>100</v>
      </c>
      <c r="V23" s="770" t="s">
        <v>17</v>
      </c>
      <c r="W23" s="771">
        <f>J23</f>
        <v>100</v>
      </c>
      <c r="X23" s="772"/>
      <c r="Y23" s="3200"/>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200"/>
      <c r="Q24" s="1787"/>
      <c r="R24" s="770"/>
      <c r="S24" s="771"/>
      <c r="T24" s="770"/>
      <c r="U24" s="771"/>
      <c r="V24" s="770"/>
      <c r="W24" s="771"/>
      <c r="X24" s="772"/>
      <c r="Y24" s="3200"/>
      <c r="Z24" s="55"/>
      <c r="AA24" s="773">
        <v>1</v>
      </c>
      <c r="AB24" s="773">
        <v>1</v>
      </c>
      <c r="AC24" s="773">
        <v>1</v>
      </c>
    </row>
    <row r="25" spans="1:29" s="117" customFormat="1" ht="28.5">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0"/>
      <c r="Q25" s="1787" t="str">
        <f t="shared" ref="Q25" si="9">B25</f>
        <v>基础设施水平</v>
      </c>
      <c r="R25" s="770" t="s">
        <v>17</v>
      </c>
      <c r="S25" s="771">
        <f>F25</f>
        <v>100</v>
      </c>
      <c r="T25" s="770" t="s">
        <v>17</v>
      </c>
      <c r="U25" s="771">
        <f>H25</f>
        <v>100</v>
      </c>
      <c r="V25" s="770" t="s">
        <v>17</v>
      </c>
      <c r="W25" s="771">
        <f>J25</f>
        <v>100</v>
      </c>
      <c r="X25" s="772"/>
      <c r="Y25" s="3200"/>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200"/>
      <c r="Q26" s="1787"/>
      <c r="R26" s="770"/>
      <c r="S26" s="771"/>
      <c r="T26" s="770"/>
      <c r="U26" s="771"/>
      <c r="V26" s="770"/>
      <c r="W26" s="771"/>
      <c r="X26" s="772"/>
      <c r="Y26" s="320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0"/>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00"/>
      <c r="Z27" s="1806" t="str">
        <f t="shared" ref="Z27:Z40" si="13">Q27</f>
        <v>临街状况</v>
      </c>
      <c r="AA27" s="1803">
        <f t="shared" si="3"/>
        <v>1</v>
      </c>
      <c r="AB27" s="1803">
        <f t="shared" si="4"/>
        <v>1</v>
      </c>
      <c r="AC27" s="1803">
        <f t="shared" si="5"/>
        <v>1</v>
      </c>
    </row>
    <row r="28" spans="1:29" ht="27">
      <c r="A28" s="428"/>
      <c r="B28" s="633" t="s">
        <v>2691</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0"/>
      <c r="Q28" s="1802" t="str">
        <f t="shared" si="8"/>
        <v>毗邻道路的类型与等级</v>
      </c>
      <c r="R28" s="774" t="s">
        <v>17</v>
      </c>
      <c r="S28" s="775">
        <f t="shared" si="10"/>
        <v>100</v>
      </c>
      <c r="T28" s="774" t="s">
        <v>17</v>
      </c>
      <c r="U28" s="775">
        <f t="shared" si="11"/>
        <v>100</v>
      </c>
      <c r="V28" s="774" t="s">
        <v>17</v>
      </c>
      <c r="W28" s="775">
        <f t="shared" si="12"/>
        <v>100</v>
      </c>
      <c r="X28" s="1805"/>
      <c r="Y28" s="3200"/>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200"/>
      <c r="Q29" s="1802"/>
      <c r="R29" s="774"/>
      <c r="S29" s="775"/>
      <c r="T29" s="774"/>
      <c r="U29" s="775"/>
      <c r="V29" s="774"/>
      <c r="W29" s="775"/>
      <c r="X29" s="1805"/>
      <c r="Y29" s="3200"/>
      <c r="Z29" s="1806"/>
      <c r="AA29" s="1803">
        <v>1</v>
      </c>
      <c r="AB29" s="1803">
        <v>1</v>
      </c>
      <c r="AC29" s="1803">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0"/>
      <c r="Q30" s="1802" t="str">
        <f t="shared" si="8"/>
        <v>土地级别</v>
      </c>
      <c r="R30" s="774" t="s">
        <v>17</v>
      </c>
      <c r="S30" s="775">
        <f t="shared" si="10"/>
        <v>100</v>
      </c>
      <c r="T30" s="774" t="s">
        <v>17</v>
      </c>
      <c r="U30" s="775">
        <f t="shared" si="11"/>
        <v>100</v>
      </c>
      <c r="V30" s="774" t="s">
        <v>17</v>
      </c>
      <c r="W30" s="775">
        <f t="shared" si="12"/>
        <v>100</v>
      </c>
      <c r="X30" s="1805"/>
      <c r="Y30" s="3200"/>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0"/>
      <c r="Q31" s="1802">
        <f t="shared" si="8"/>
        <v>111</v>
      </c>
      <c r="R31" s="774" t="s">
        <v>17</v>
      </c>
      <c r="S31" s="775">
        <f t="shared" si="10"/>
        <v>100</v>
      </c>
      <c r="T31" s="774" t="s">
        <v>17</v>
      </c>
      <c r="U31" s="775">
        <f t="shared" si="11"/>
        <v>100</v>
      </c>
      <c r="V31" s="774" t="s">
        <v>17</v>
      </c>
      <c r="W31" s="775">
        <f t="shared" si="12"/>
        <v>100</v>
      </c>
      <c r="X31" s="1805"/>
      <c r="Y31" s="3200"/>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5" t="s">
        <v>2565</v>
      </c>
      <c r="Q32" s="1802">
        <f t="shared" si="8"/>
        <v>111</v>
      </c>
      <c r="R32" s="774" t="s">
        <v>17</v>
      </c>
      <c r="S32" s="775">
        <f t="shared" si="10"/>
        <v>100</v>
      </c>
      <c r="T32" s="774" t="s">
        <v>17</v>
      </c>
      <c r="U32" s="775">
        <f t="shared" si="11"/>
        <v>100</v>
      </c>
      <c r="V32" s="774" t="s">
        <v>17</v>
      </c>
      <c r="W32" s="775">
        <f t="shared" si="12"/>
        <v>100</v>
      </c>
      <c r="X32" s="1805"/>
      <c r="Y32" s="3204" t="s">
        <v>2565</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4"/>
      <c r="Q33" s="1802">
        <f t="shared" si="8"/>
        <v>111</v>
      </c>
      <c r="R33" s="777" t="s">
        <v>17</v>
      </c>
      <c r="S33" s="778">
        <f t="shared" si="10"/>
        <v>100</v>
      </c>
      <c r="T33" s="777" t="s">
        <v>17</v>
      </c>
      <c r="U33" s="778">
        <f t="shared" si="11"/>
        <v>100</v>
      </c>
      <c r="V33" s="777" t="s">
        <v>17</v>
      </c>
      <c r="W33" s="778">
        <f t="shared" si="12"/>
        <v>100</v>
      </c>
      <c r="X33" s="779"/>
      <c r="Y33" s="3204"/>
      <c r="Z33" s="780">
        <f t="shared" si="13"/>
        <v>111</v>
      </c>
      <c r="AA33" s="1803">
        <f t="shared" si="3"/>
        <v>1</v>
      </c>
      <c r="AB33" s="1803">
        <f t="shared" si="4"/>
        <v>1</v>
      </c>
      <c r="AC33" s="180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4"/>
      <c r="Q34" s="1802" t="str">
        <f>B34</f>
        <v>宗地面积</v>
      </c>
      <c r="R34" s="774" t="s">
        <v>17</v>
      </c>
      <c r="S34" s="775" t="e">
        <f t="shared" si="10"/>
        <v>#N/A</v>
      </c>
      <c r="T34" s="774" t="s">
        <v>17</v>
      </c>
      <c r="U34" s="775" t="e">
        <f t="shared" si="11"/>
        <v>#N/A</v>
      </c>
      <c r="V34" s="774" t="s">
        <v>17</v>
      </c>
      <c r="W34" s="775" t="e">
        <f t="shared" si="12"/>
        <v>#N/A</v>
      </c>
      <c r="X34" s="1805"/>
      <c r="Y34" s="3204"/>
      <c r="Z34" s="1806" t="str">
        <f t="shared" si="13"/>
        <v>宗地面积</v>
      </c>
      <c r="AA34" s="1803" t="e">
        <f t="shared" si="3"/>
        <v>#N/A</v>
      </c>
      <c r="AB34" s="1803" t="e">
        <f t="shared" si="4"/>
        <v>#N/A</v>
      </c>
      <c r="AC34" s="1803"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04"/>
      <c r="Q35" s="1802" t="str">
        <f t="shared" ref="Q35:Q40" si="14">B35</f>
        <v>宗地形状</v>
      </c>
      <c r="R35" s="774" t="s">
        <v>17</v>
      </c>
      <c r="S35" s="775">
        <f t="shared" si="10"/>
        <v>100</v>
      </c>
      <c r="T35" s="774" t="s">
        <v>17</v>
      </c>
      <c r="U35" s="775">
        <f t="shared" si="11"/>
        <v>100</v>
      </c>
      <c r="V35" s="774" t="s">
        <v>17</v>
      </c>
      <c r="W35" s="775">
        <f t="shared" si="12"/>
        <v>100</v>
      </c>
      <c r="X35" s="1805"/>
      <c r="Y35" s="3204"/>
      <c r="Z35" s="1806" t="str">
        <f t="shared" si="13"/>
        <v>宗地形状</v>
      </c>
      <c r="AA35" s="1803">
        <f t="shared" si="3"/>
        <v>1</v>
      </c>
      <c r="AB35" s="1803">
        <f t="shared" si="4"/>
        <v>1</v>
      </c>
      <c r="AC35" s="1803">
        <f t="shared" si="5"/>
        <v>1</v>
      </c>
    </row>
    <row r="36" spans="1:29" s="117" customFormat="1" ht="15">
      <c r="A36" s="473"/>
      <c r="B36" s="422" t="s">
        <v>2754</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04"/>
      <c r="Q36" s="1802"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04" t="s">
        <v>2565</v>
      </c>
      <c r="Q37" s="1802" t="str">
        <f t="shared" si="14"/>
        <v>工程地质条件</v>
      </c>
      <c r="R37" s="774" t="s">
        <v>17</v>
      </c>
      <c r="S37" s="775">
        <f t="shared" si="10"/>
        <v>100</v>
      </c>
      <c r="T37" s="774" t="s">
        <v>17</v>
      </c>
      <c r="U37" s="775">
        <f t="shared" si="11"/>
        <v>100</v>
      </c>
      <c r="V37" s="774" t="s">
        <v>17</v>
      </c>
      <c r="W37" s="775">
        <f t="shared" si="12"/>
        <v>100</v>
      </c>
      <c r="X37" s="1805"/>
      <c r="Y37" s="3204" t="s">
        <v>2565</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4"/>
      <c r="Q38" s="1802">
        <f t="shared" si="14"/>
        <v>111</v>
      </c>
      <c r="R38" s="774" t="s">
        <v>17</v>
      </c>
      <c r="S38" s="775">
        <f t="shared" si="10"/>
        <v>100</v>
      </c>
      <c r="T38" s="774" t="s">
        <v>17</v>
      </c>
      <c r="U38" s="775">
        <f t="shared" si="11"/>
        <v>100</v>
      </c>
      <c r="V38" s="774" t="s">
        <v>17</v>
      </c>
      <c r="W38" s="775">
        <f t="shared" si="12"/>
        <v>100</v>
      </c>
      <c r="X38" s="1805"/>
      <c r="Y38" s="3204"/>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4"/>
      <c r="Q39" s="1802">
        <f t="shared" si="14"/>
        <v>111</v>
      </c>
      <c r="R39" s="774" t="s">
        <v>17</v>
      </c>
      <c r="S39" s="775">
        <f t="shared" si="10"/>
        <v>100</v>
      </c>
      <c r="T39" s="774" t="s">
        <v>17</v>
      </c>
      <c r="U39" s="775">
        <f t="shared" si="11"/>
        <v>100</v>
      </c>
      <c r="V39" s="774" t="s">
        <v>17</v>
      </c>
      <c r="W39" s="775">
        <f t="shared" si="12"/>
        <v>100</v>
      </c>
      <c r="X39" s="1805"/>
      <c r="Y39" s="3204"/>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4"/>
      <c r="Q40" s="1802">
        <f t="shared" si="14"/>
        <v>111</v>
      </c>
      <c r="R40" s="777" t="s">
        <v>17</v>
      </c>
      <c r="S40" s="778">
        <f t="shared" si="10"/>
        <v>100</v>
      </c>
      <c r="T40" s="777" t="s">
        <v>17</v>
      </c>
      <c r="U40" s="778">
        <f t="shared" si="11"/>
        <v>100</v>
      </c>
      <c r="V40" s="777" t="s">
        <v>17</v>
      </c>
      <c r="W40" s="778">
        <f t="shared" si="12"/>
        <v>100</v>
      </c>
      <c r="X40" s="779"/>
      <c r="Y40" s="3204"/>
      <c r="Z40" s="780">
        <f t="shared" si="13"/>
        <v>111</v>
      </c>
      <c r="AA40" s="1803">
        <f t="shared" si="3"/>
        <v>1</v>
      </c>
      <c r="AB40" s="1803">
        <f t="shared" si="4"/>
        <v>1</v>
      </c>
      <c r="AC40" s="1803">
        <f t="shared" si="5"/>
        <v>1</v>
      </c>
    </row>
    <row r="41" spans="1:29" ht="15">
      <c r="A41" s="479" t="s">
        <v>2720</v>
      </c>
      <c r="B41" s="2697" t="s">
        <v>2800</v>
      </c>
      <c r="C41" s="682" t="s">
        <v>1</v>
      </c>
      <c r="D41" s="481"/>
      <c r="E41" s="482"/>
      <c r="F41" s="483"/>
      <c r="G41" s="484"/>
      <c r="H41" s="485"/>
      <c r="I41" s="482"/>
      <c r="J41" s="485"/>
      <c r="K41" s="783"/>
      <c r="L41" s="1143"/>
      <c r="M41" s="1131"/>
      <c r="N41" s="1131"/>
      <c r="O41" s="1144"/>
      <c r="P41" s="3197" t="str">
        <f>A41</f>
        <v>成交单价</v>
      </c>
      <c r="Q41" s="3197"/>
      <c r="R41" s="3228">
        <f>E41</f>
        <v>0</v>
      </c>
      <c r="S41" s="3228"/>
      <c r="T41" s="3228">
        <f>G41</f>
        <v>0</v>
      </c>
      <c r="U41" s="3228"/>
      <c r="V41" s="3228">
        <f>I41</f>
        <v>0</v>
      </c>
      <c r="W41" s="3228"/>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97" t="str">
        <f>A42</f>
        <v>比较价值（元/平方米）</v>
      </c>
      <c r="Q42" s="3197"/>
      <c r="R42" s="3256" t="e">
        <f>ROUND(PRODUCT(R41,AA7:AA40),0)</f>
        <v>#DIV/0!</v>
      </c>
      <c r="S42" s="3256"/>
      <c r="T42" s="3256" t="e">
        <f>ROUND(PRODUCT(T41,AB7:AB40),0)</f>
        <v>#DIV/0!</v>
      </c>
      <c r="U42" s="3256"/>
      <c r="V42" s="3256" t="e">
        <f>ROUND(PRODUCT(V41,AC7:AC40),0)</f>
        <v>#DIV/0!</v>
      </c>
      <c r="W42" s="3256"/>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94" t="str">
        <f>A43</f>
        <v>估价对象XX用房的比较价值（楼面单价，元/平方米）</v>
      </c>
      <c r="Q43" s="3195"/>
      <c r="R43" s="3257" t="e">
        <f>ROUND(AVERAGE(R42:V42),0)</f>
        <v>#DIV/0!</v>
      </c>
      <c r="S43" s="3257"/>
      <c r="T43" s="3257"/>
      <c r="U43" s="3257"/>
      <c r="V43" s="3257"/>
      <c r="W43" s="325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698" t="s">
        <v>2760</v>
      </c>
      <c r="D50" s="2699" t="s">
        <v>2761</v>
      </c>
      <c r="E50" s="686" t="s">
        <v>2762</v>
      </c>
      <c r="F50" s="687" t="s">
        <v>2763</v>
      </c>
      <c r="G50" s="3212" t="s">
        <v>2764</v>
      </c>
      <c r="H50" s="3258"/>
      <c r="I50" s="1806" t="s">
        <v>2801</v>
      </c>
      <c r="J50" s="1806" t="str">
        <f>项目基本情况!F35</f>
        <v>同观商业中心</v>
      </c>
      <c r="K50" s="2701" t="s">
        <v>2766</v>
      </c>
      <c r="L50" s="1106"/>
      <c r="M50" s="1144"/>
      <c r="N50" s="1144"/>
      <c r="O50" s="1144"/>
    </row>
    <row r="51" spans="1:17" s="692" customFormat="1">
      <c r="A51" s="688" t="s">
        <v>2767</v>
      </c>
      <c r="B51" s="689" t="e">
        <f>C43</f>
        <v>#DIV/0!</v>
      </c>
      <c r="C51" s="690">
        <v>1</v>
      </c>
      <c r="D51" s="1163">
        <v>1</v>
      </c>
      <c r="E51" s="690">
        <f>'数据-汇总表'!E8+'数据-汇总表'!E9</f>
        <v>6400</v>
      </c>
      <c r="F51" s="691" t="e">
        <f t="shared" ref="F51:F60" si="15">ROUND(B51*E51/10000,0)</f>
        <v>#DIV/0!</v>
      </c>
      <c r="G51" s="3208"/>
      <c r="H51" s="3197"/>
      <c r="I51" s="942">
        <v>1</v>
      </c>
      <c r="J51" s="942">
        <v>1</v>
      </c>
      <c r="K51" s="1145"/>
      <c r="L51" s="941"/>
      <c r="M51" s="941"/>
      <c r="N51" s="941"/>
      <c r="O51" s="941"/>
    </row>
    <row r="52" spans="1:17" s="692" customFormat="1">
      <c r="A52" s="693" t="s">
        <v>2768</v>
      </c>
      <c r="B52" s="262" t="e">
        <f>ROUND($C$43*C52*D52,0)</f>
        <v>#DIV/0!</v>
      </c>
      <c r="C52" s="200">
        <f t="shared" ref="C52:C60" si="16">IF($C$50="北京市系数",I52,J52)</f>
        <v>0.7</v>
      </c>
      <c r="D52" s="1164">
        <v>0.25</v>
      </c>
      <c r="E52" s="694"/>
      <c r="F52" s="691" t="e">
        <f t="shared" si="15"/>
        <v>#DIV/0!</v>
      </c>
      <c r="G52" s="3259" t="s">
        <v>2769</v>
      </c>
      <c r="H52" s="1104" t="str">
        <f>项目基本情况!B37</f>
        <v>四级</v>
      </c>
      <c r="I52" s="942">
        <f>SUMIF(修正!A45:A56,H52,修正!B45:B56)</f>
        <v>0.7</v>
      </c>
      <c r="J52" s="943"/>
      <c r="K52" s="1144"/>
      <c r="L52" s="941"/>
      <c r="M52" s="941"/>
      <c r="N52" s="941"/>
      <c r="O52" s="941"/>
    </row>
    <row r="53" spans="1:17" s="692" customFormat="1">
      <c r="A53" s="693" t="s">
        <v>2770</v>
      </c>
      <c r="B53" s="262" t="e">
        <f t="shared" ref="B53:B60" si="17">ROUND($C$43*C53*D53,0)</f>
        <v>#DIV/0!</v>
      </c>
      <c r="C53" s="200">
        <f t="shared" si="16"/>
        <v>0.4</v>
      </c>
      <c r="D53" s="1164">
        <v>0.25</v>
      </c>
      <c r="E53" s="694"/>
      <c r="F53" s="691" t="e">
        <f t="shared" si="15"/>
        <v>#DIV/0!</v>
      </c>
      <c r="G53" s="3259"/>
      <c r="H53" s="1104" t="str">
        <f>项目基本情况!B37</f>
        <v>四级</v>
      </c>
      <c r="I53" s="942">
        <f>SUMIF(修正!A45:A56,H53,修正!C45:C56)</f>
        <v>0.4</v>
      </c>
      <c r="J53" s="943"/>
      <c r="K53" s="1145"/>
      <c r="L53" s="941"/>
      <c r="M53" s="941"/>
      <c r="N53" s="941"/>
      <c r="O53" s="941"/>
    </row>
    <row r="54" spans="1:17" s="692" customFormat="1">
      <c r="A54" s="693" t="s">
        <v>2771</v>
      </c>
      <c r="B54" s="262" t="e">
        <f t="shared" si="17"/>
        <v>#DIV/0!</v>
      </c>
      <c r="C54" s="200">
        <f t="shared" si="16"/>
        <v>0.28000000000000003</v>
      </c>
      <c r="D54" s="1164">
        <v>0.25</v>
      </c>
      <c r="E54" s="694"/>
      <c r="F54" s="691" t="e">
        <f t="shared" si="15"/>
        <v>#DIV/0!</v>
      </c>
      <c r="G54" s="3259"/>
      <c r="H54" s="1104" t="str">
        <f>项目基本情况!B37</f>
        <v>四级</v>
      </c>
      <c r="I54" s="942">
        <f>SUMIF(修正!A45:A56,H54,修正!D45:D56)</f>
        <v>0.28000000000000003</v>
      </c>
      <c r="J54" s="943"/>
      <c r="K54" s="1144"/>
      <c r="L54" s="941"/>
      <c r="M54" s="941"/>
      <c r="N54" s="941"/>
      <c r="O54" s="941"/>
    </row>
    <row r="55" spans="1:17" s="692" customFormat="1">
      <c r="A55" s="693" t="s">
        <v>2772</v>
      </c>
      <c r="B55" s="262" t="e">
        <f t="shared" si="17"/>
        <v>#DIV/0!</v>
      </c>
      <c r="C55" s="200">
        <f t="shared" si="16"/>
        <v>0.25</v>
      </c>
      <c r="D55" s="1164">
        <v>0.25</v>
      </c>
      <c r="E55" s="694"/>
      <c r="F55" s="691" t="e">
        <f t="shared" si="15"/>
        <v>#DIV/0!</v>
      </c>
      <c r="G55" s="3259"/>
      <c r="H55" s="1104" t="str">
        <f>项目基本情况!B37</f>
        <v>四级</v>
      </c>
      <c r="I55" s="942">
        <f>SUMIF(修正!A45:A56,H55,修正!E45:E56)</f>
        <v>0.25</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0.2</v>
      </c>
      <c r="D59" s="1164">
        <v>0.25</v>
      </c>
      <c r="E59" s="261">
        <f>'数据-汇总表'!E14</f>
        <v>0</v>
      </c>
      <c r="F59" s="691" t="e">
        <f t="shared" si="15"/>
        <v>#DIV/0!</v>
      </c>
      <c r="G59" s="2702" t="s">
        <v>2769</v>
      </c>
      <c r="H59" s="1104" t="str">
        <f>项目基本情况!B37</f>
        <v>四级</v>
      </c>
      <c r="I59" s="942">
        <f>SUMIF(修正!A45:A56,H59,修正!H45:H56)</f>
        <v>0.2</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0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04" t="s">
        <v>2782</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09" t="s">
        <v>2802</v>
      </c>
      <c r="B66" s="332" t="str">
        <f>"北京市平均增长率"&amp;TEXT('基准地价修正（1层+地下1层）'!P24,"0.00%")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F1" zoomScale="80" zoomScaleNormal="80" zoomScaleSheetLayoutView="96" workbookViewId="0">
      <selection activeCell="U7" sqref="U7"/>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2804</v>
      </c>
      <c r="B1" s="241"/>
      <c r="C1" s="245" t="s">
        <v>2805</v>
      </c>
      <c r="D1" s="388">
        <f>SUM(D29:D30,D33:D39)</f>
        <v>2900</v>
      </c>
      <c r="E1" s="2710"/>
      <c r="F1" s="2710"/>
      <c r="G1" s="2710"/>
      <c r="H1" s="2710"/>
      <c r="I1" s="2710"/>
      <c r="J1" s="2710"/>
      <c r="K1" s="1370"/>
      <c r="L1" s="2711" t="s">
        <v>2806</v>
      </c>
      <c r="M1" s="1080">
        <f>SUMPRODUCT((区片价!B5:B9=I2)*(区片价!C3:F3=E2)*(区片价!C5:F9))</f>
        <v>0</v>
      </c>
      <c r="N1" s="1083">
        <f>SUMPRODUCT((因素修正幅度!B5:B9=I2)*(因素修正幅度!C3:F3=E2)*(因素修正幅度!C5:F9))</f>
        <v>0</v>
      </c>
      <c r="O1" s="2712"/>
      <c r="P1" s="271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9290</v>
      </c>
      <c r="C2" s="2714" t="s">
        <v>2813</v>
      </c>
      <c r="D2" s="2715" t="s">
        <v>2814</v>
      </c>
      <c r="E2" s="2716" t="s">
        <v>1372</v>
      </c>
      <c r="F2" s="2715" t="s">
        <v>2815</v>
      </c>
      <c r="G2" s="2717" t="str">
        <f>IF(E2="商业",项目基本情况!B37,IF(E2="办公",项目基本情况!C37,IF(E2="住宅",项目基本情况!D37,项目基本情况!E37)))</f>
        <v>四级</v>
      </c>
      <c r="H2" s="2715" t="s">
        <v>2816</v>
      </c>
      <c r="I2" s="2717" t="str">
        <f>IF(E2="商业",项目基本情况!B38,IF(E2="办公",项目基本情况!C38,IF(E2="住宅",项目基本情况!D38,项目基本情况!E38)))</f>
        <v>Ⅳ-02</v>
      </c>
      <c r="J2" s="2718"/>
      <c r="K2" s="1370"/>
      <c r="L2" s="271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40821</v>
      </c>
      <c r="U2" s="1603">
        <v>1900</v>
      </c>
      <c r="V2" s="1602">
        <f ca="1">ROUND(T2*U2/10000,0)</f>
        <v>7756</v>
      </c>
      <c r="W2" s="1606"/>
      <c r="X2" s="1606"/>
      <c r="Y2" s="1606"/>
      <c r="Z2" s="1606"/>
      <c r="AA2" s="1606"/>
      <c r="AB2" s="1606"/>
      <c r="AC2" s="1607"/>
      <c r="AD2" s="1608"/>
      <c r="AE2" s="1608"/>
      <c r="AF2" s="1608"/>
      <c r="AG2" s="1608"/>
      <c r="AH2" s="1608"/>
      <c r="AI2" s="1608"/>
      <c r="AJ2" s="1609"/>
    </row>
    <row r="3" spans="1:36" ht="15.75">
      <c r="A3" s="247" t="s">
        <v>2818</v>
      </c>
      <c r="B3" s="248">
        <f ca="1">ROUND(B2*10000/D1,0)</f>
        <v>32034</v>
      </c>
      <c r="C3" s="2714" t="s">
        <v>2819</v>
      </c>
      <c r="D3" s="2715" t="s">
        <v>2820</v>
      </c>
      <c r="E3" s="2720" t="s">
        <v>3072</v>
      </c>
      <c r="F3" s="2721" t="s">
        <v>3073</v>
      </c>
      <c r="G3" s="916">
        <f>IF(F3="宗地容积率",'数据-汇总表'!I4,IF(F3="估价对象容积率",'数据-汇总表'!I6,'数据-汇总表'!I7))</f>
        <v>2.5</v>
      </c>
      <c r="H3" s="198" t="s">
        <v>2821</v>
      </c>
      <c r="I3" s="944">
        <v>1</v>
      </c>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29301</v>
      </c>
      <c r="U3" s="1603">
        <v>2900</v>
      </c>
      <c r="V3" s="1602">
        <f t="shared" ref="V3:V16" ca="1" si="1">ROUND(T3*U3/10000,0)</f>
        <v>8497</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19" t="s">
        <v>2824</v>
      </c>
      <c r="M4" s="1081">
        <f>SUMPRODUCT((区片价!B49:B75=I2)*(区片价!C3:F3=E2)*(区片价!C49:F75))</f>
        <v>19040</v>
      </c>
      <c r="N4" s="1083">
        <f>SUMPRODUCT((因素修正幅度!B49:B75=I2)*(因素修正幅度!C3:F3=E2)*(因素修正幅度!C49:F75))</f>
        <v>7.4999999999999997E-2</v>
      </c>
      <c r="O4" s="1370"/>
      <c r="P4" s="1370"/>
      <c r="Q4" s="1370"/>
      <c r="R4" s="1602">
        <v>3</v>
      </c>
      <c r="S4" s="1602">
        <f>ROUND(IF(G3&gt;1,IF(R4&lt;7,SUMPRODUCT((B93:B98=R4)*(C92:N92=G2)*(C93:N98)),SUMIF(C92:N92,G2,C100:N100)),IF(R4&lt;7,SUMPRODUCT((B102:B107=R4)*(C92:N92=G2)*(C102:N107)),SUMIF(C92:N92,G2,C109:N109))),4)</f>
        <v>1.0788</v>
      </c>
      <c r="T4" s="1602">
        <f t="shared" ca="1" si="0"/>
        <v>23639</v>
      </c>
      <c r="U4" s="1603">
        <v>1600</v>
      </c>
      <c r="V4" s="1602">
        <f t="shared" ca="1" si="1"/>
        <v>3782</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f>ROUND(IF(E2="商业",C6*C7+C16,(IF(E2="住宅",C6*C12+C16,C6+C16))),0)</f>
        <v>19040</v>
      </c>
      <c r="D5" s="1779">
        <f>ROUND(C6+C16,0)</f>
        <v>19040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18967</v>
      </c>
      <c r="U5" s="1603"/>
      <c r="V5" s="1602">
        <f t="shared" ca="1" si="1"/>
        <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19040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16152</v>
      </c>
      <c r="U6" s="1603"/>
      <c r="V6" s="1602">
        <f t="shared" ca="1" si="1"/>
        <v>0</v>
      </c>
      <c r="W6" s="1606"/>
      <c r="X6" s="1606"/>
      <c r="Y6" s="1606"/>
      <c r="Z6" s="1606"/>
      <c r="AA6" s="1606"/>
      <c r="AB6" s="1606"/>
      <c r="AC6" s="2728"/>
      <c r="AD6" s="2729"/>
      <c r="AE6" s="2729"/>
      <c r="AF6" s="2729"/>
      <c r="AG6" s="2729"/>
      <c r="AH6" s="2729"/>
      <c r="AI6" s="2729"/>
      <c r="AJ6" s="2730"/>
    </row>
    <row r="7" spans="1:36" ht="24">
      <c r="A7" s="3271" t="str">
        <f>IF(E2="商业",IF(C8="不临58条商业街","",2),"")</f>
        <v/>
      </c>
      <c r="B7" s="2738" t="s">
        <v>2831</v>
      </c>
      <c r="C7" s="919">
        <f>IF(C8="不临58条商业街",1,ROUND(1+(1.6*E8+1.2*E9+0.8*E10+0.4*E11)*C9,4))</f>
        <v>1</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14204</v>
      </c>
      <c r="U7" s="1603"/>
      <c r="V7" s="1602">
        <f t="shared" ca="1" si="1"/>
        <v>0</v>
      </c>
      <c r="W7" s="1808" t="s">
        <v>2834</v>
      </c>
      <c r="X7" s="1604" t="str">
        <f>G2</f>
        <v>四级</v>
      </c>
      <c r="Y7" s="1604" t="s">
        <v>2835</v>
      </c>
      <c r="Z7" s="1605">
        <f>G3</f>
        <v>2.5</v>
      </c>
      <c r="AA7" s="1606"/>
      <c r="AB7" s="1606"/>
      <c r="AC7" s="1607"/>
      <c r="AD7" s="1608"/>
      <c r="AE7" s="1608"/>
      <c r="AF7" s="1608"/>
      <c r="AG7" s="1608"/>
      <c r="AH7" s="1608"/>
      <c r="AI7" s="1608"/>
      <c r="AJ7" s="1609"/>
    </row>
    <row r="8" spans="1:36" ht="25.5">
      <c r="A8" s="3272"/>
      <c r="B8" s="198" t="s">
        <v>2836</v>
      </c>
      <c r="C8" s="2743" t="s">
        <v>3074</v>
      </c>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4" t="s">
        <v>2839</v>
      </c>
      <c r="X8" s="3265"/>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2"/>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6"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6" t="s">
        <v>2863</v>
      </c>
      <c r="X11" s="1614" t="s">
        <v>2864</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71"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6"/>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57" t="s">
        <v>2870</v>
      </c>
      <c r="C13" s="2758" t="s">
        <v>2871</v>
      </c>
      <c r="D13" s="1800" t="s">
        <v>2872</v>
      </c>
      <c r="E13" s="1800" t="s">
        <v>2873</v>
      </c>
      <c r="F13" s="30" t="s">
        <v>2874</v>
      </c>
      <c r="G13" s="2759" t="s">
        <v>2875</v>
      </c>
      <c r="H13" s="2759" t="s">
        <v>2875</v>
      </c>
      <c r="I13" s="2759" t="s">
        <v>2875</v>
      </c>
      <c r="J13" s="2760" t="s">
        <v>2875</v>
      </c>
      <c r="K13" s="1370"/>
      <c r="L13" s="1370"/>
      <c r="M13" s="1370"/>
      <c r="N13" s="1370"/>
      <c r="O13" s="1370"/>
      <c r="P13" s="1370"/>
      <c r="Q13" s="1370"/>
      <c r="R13" s="1602">
        <v>12</v>
      </c>
      <c r="S13" s="1603"/>
      <c r="T13" s="1602">
        <f t="shared" ca="1" si="0"/>
        <v>0</v>
      </c>
      <c r="U13" s="1603"/>
      <c r="V13" s="1602">
        <f t="shared" ca="1" si="1"/>
        <v>0</v>
      </c>
      <c r="W13" s="3266"/>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3"/>
      <c r="B14" s="2761"/>
      <c r="C14" s="2762"/>
      <c r="D14" s="2763"/>
      <c r="E14" s="2763"/>
      <c r="F14" s="2764"/>
      <c r="G14" s="2765" t="s">
        <v>2876</v>
      </c>
      <c r="H14" s="2766"/>
      <c r="I14" s="2767"/>
      <c r="J14" s="276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4"/>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1" t="s">
        <v>2882</v>
      </c>
      <c r="B16" s="2738" t="s">
        <v>2883</v>
      </c>
      <c r="C16" s="2925">
        <f>ROUND(IF(F17="与级别开发程度一致",0,(G17-E17)/C17),0)</f>
        <v>0</v>
      </c>
      <c r="D16" s="3285" t="s">
        <v>2887</v>
      </c>
      <c r="E16" s="3286"/>
      <c r="F16" s="3285" t="s">
        <v>2884</v>
      </c>
      <c r="G16" s="3286"/>
      <c r="H16" s="2772"/>
      <c r="I16" s="2772"/>
      <c r="J16" s="2929"/>
      <c r="K16" s="2772"/>
      <c r="L16" s="2772"/>
      <c r="M16" s="2772"/>
      <c r="N16" s="2772"/>
      <c r="O16" s="277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5"/>
      <c r="B17" s="2936" t="s">
        <v>2886</v>
      </c>
      <c r="C17" s="2937">
        <f>SUMPRODUCT((修正!A2:A5=E2)*(修正!B1:M1=G2)*(修正!B2:M5))</f>
        <v>2.5</v>
      </c>
      <c r="D17" s="229" t="str">
        <f>IF(OR(G2="八级",G2="九级",G2="十级",G2="十一级",G2="十二级"),"五通一平","七通一平")</f>
        <v>七通一平</v>
      </c>
      <c r="E17" s="2926">
        <f>SUMPRODUCT((修正!B1:M1=G2)*(修正!B15:M15))</f>
        <v>300</v>
      </c>
      <c r="F17" s="2927" t="s">
        <v>3081</v>
      </c>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1</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25" thickBot="1">
      <c r="A19" s="2777" t="s">
        <v>809</v>
      </c>
      <c r="B19" s="2778" t="s">
        <v>2890</v>
      </c>
      <c r="C19" s="924">
        <f>ROUND(IF(H19="按公示增长率计算",SUMPRODUCT((地价!A3:A31=YEAR(G19)&amp;"-"&amp;ROUNDUP(MONTH(G19)/3,0))*(地价!X2:AB2=E2)*(地价!X3:AB31)),IF(H19="地价指数",M20/M19,(1+I19)^O19)),4)</f>
        <v>1.3577999999999999</v>
      </c>
      <c r="D19" s="2782" t="s">
        <v>2891</v>
      </c>
      <c r="E19" s="925">
        <v>41640</v>
      </c>
      <c r="F19" s="2782" t="s">
        <v>2892</v>
      </c>
      <c r="G19" s="926">
        <f>'数据-取费表'!B2</f>
        <v>44019</v>
      </c>
      <c r="H19" s="2783" t="s">
        <v>3080</v>
      </c>
      <c r="I19" s="927" t="str">
        <f>IF(H19="季度增幅（自定义）",SUMIF(N21:N24,E2,O21:O24),"")</f>
        <v/>
      </c>
      <c r="J19" s="2780"/>
      <c r="K19" s="1377"/>
      <c r="L19" s="2784" t="s">
        <v>2893</v>
      </c>
      <c r="M19" s="1734">
        <f>ROUND(SUMIF(地价!B2:F2,E2,地价!B31:F31),0)</f>
        <v>258</v>
      </c>
      <c r="N19" s="2785"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f ca="1">ROUND(POWER(1+G20,J20-I20)*(POWER(1+G20,I20)-1)/(POWER(1+G20,J20)-1),4)</f>
        <v>0.81679999999999997</v>
      </c>
      <c r="D20" s="2791" t="s">
        <v>2896</v>
      </c>
      <c r="E20" s="1760">
        <f ca="1">存贷款利率!D4/100</f>
        <v>4.3499999999999997E-2</v>
      </c>
      <c r="F20" s="2791" t="s">
        <v>2888</v>
      </c>
      <c r="G20" s="934">
        <f ca="1">SUMIF(M26:P26,E2,M28:P28)</f>
        <v>5.3999999999999999E-2</v>
      </c>
      <c r="H20" s="2791" t="s">
        <v>2897</v>
      </c>
      <c r="I20" s="935">
        <f>SUMIF('数据-取费表'!C6:C15,E2,'数据-取费表'!F6:F15)/COUNTIF('数据-取费表'!C6:C15,E2)</f>
        <v>24.01</v>
      </c>
      <c r="J20" s="936">
        <f>IF(E2="住宅",70,IF(E2="商业",40,50))</f>
        <v>40</v>
      </c>
      <c r="K20" s="1377"/>
      <c r="L20" s="2792" t="s">
        <v>2898</v>
      </c>
      <c r="M20" s="1735">
        <f>ROUND(SUMPRODUCT((地价!A4:A31=YEAR(G19)&amp;"-"&amp;ROUNDUP(MONTH(G19)/3,0))*(地价!B2:F2=E2)*(地价!B4:F31)),0)</f>
        <v>350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3076</v>
      </c>
      <c r="C21" s="937">
        <f>IF(B21="容积率修正",IF(G3&lt;=10,D22,J22),C23)</f>
        <v>1.8629</v>
      </c>
      <c r="D21" s="2798"/>
      <c r="E21" s="2798"/>
      <c r="F21" s="2798"/>
      <c r="G21" s="2798"/>
      <c r="H21" s="2798"/>
      <c r="I21" s="2798"/>
      <c r="J21" s="2799"/>
      <c r="K21" s="1377"/>
      <c r="N21" s="2800" t="s">
        <v>2902</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1" customFormat="1" ht="14.25">
      <c r="A22" s="2657" t="s">
        <v>2903</v>
      </c>
      <c r="B22" s="2801" t="s">
        <v>2904</v>
      </c>
      <c r="C22" s="1802" t="s">
        <v>2905</v>
      </c>
      <c r="D22" s="1802">
        <f>IF(E22=G22,F22,IF(G3&lt;=10,ROUND(F22+(H22-F22)*(G3-E22)/(G22-E22),4),"——"))</f>
        <v>1</v>
      </c>
      <c r="E22" s="916">
        <f>ROUNDDOWN(G3,1)</f>
        <v>2.5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2" t="s">
        <v>155</v>
      </c>
      <c r="J22" s="938" t="str">
        <f>IF(G3&gt;10,D113,"——")</f>
        <v>——</v>
      </c>
      <c r="K22" s="1377"/>
      <c r="N22" s="2800" t="s">
        <v>2906</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7" t="s">
        <v>2907</v>
      </c>
      <c r="B23" s="2802" t="s">
        <v>2908</v>
      </c>
      <c r="C23" s="1013">
        <f>ROUND(IF(G3&gt;1,IF(I3&lt;7,SUMPRODUCT((B93:B98=I3)*(C92:N92=G2)*(C93:N98)),SUMIF(C92:N92,G2,C100:N100)),IF(I3&lt;7,SUMPRODUCT((B102:B107=I3)*(C92:N92=G2)*(C102:N107)),SUMIF(C92:N92,G2,C109:N109))),4)</f>
        <v>1.8629</v>
      </c>
      <c r="D23" s="2766"/>
      <c r="E23" s="2766"/>
      <c r="F23" s="2803"/>
      <c r="G23" s="2804"/>
      <c r="H23" s="2805"/>
      <c r="I23" s="2806"/>
      <c r="J23" s="2807"/>
      <c r="K23" s="1370"/>
      <c r="N23" s="2800" t="s">
        <v>2909</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2910</v>
      </c>
      <c r="C24" s="924">
        <f>SUMIF(A45:A88,E2,B45:B88)</f>
        <v>1.0377000000000001</v>
      </c>
      <c r="D24" s="2779"/>
      <c r="E24" s="2808"/>
      <c r="F24" s="2808"/>
      <c r="G24" s="2808"/>
      <c r="H24" s="2808"/>
      <c r="I24" s="2808"/>
      <c r="J24" s="2809"/>
      <c r="K24" s="1377"/>
      <c r="N24" s="2810" t="s">
        <v>2911</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2912</v>
      </c>
      <c r="C25" s="930"/>
      <c r="D25" s="2741"/>
      <c r="E25" s="2741"/>
      <c r="F25" s="2812"/>
      <c r="G25" s="2741"/>
      <c r="H25" s="2741"/>
      <c r="I25" s="2741"/>
      <c r="J25" s="2742"/>
      <c r="K25" s="1370"/>
      <c r="N25" s="2813" t="s">
        <v>2913</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4"/>
      <c r="B26" s="2801" t="s">
        <v>2914</v>
      </c>
      <c r="C26" s="206">
        <f ca="1">E29+SUM(E33:E39)</f>
        <v>9290</v>
      </c>
      <c r="D26" s="2815"/>
      <c r="E26" s="2766"/>
      <c r="F26" s="2816"/>
      <c r="G26" s="2766"/>
      <c r="H26" s="2766"/>
      <c r="I26" s="2766"/>
      <c r="J26" s="2817"/>
      <c r="K26" s="1370"/>
      <c r="L26" s="2770" t="s">
        <v>2814</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2915</v>
      </c>
      <c r="C27" s="931">
        <f ca="1">E30+SUM(I33:I39)</f>
        <v>384</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2916</v>
      </c>
      <c r="C28" s="2825" t="s">
        <v>2917</v>
      </c>
      <c r="D28" s="2825" t="s">
        <v>2918</v>
      </c>
      <c r="E28" s="2826" t="s">
        <v>2919</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f ca="1">ROUND(C5*C18*C19*C20*C21*C24,0)</f>
        <v>40821</v>
      </c>
      <c r="D29" s="2830">
        <f>'数据-基础表'!I13</f>
        <v>1900</v>
      </c>
      <c r="E29" s="942">
        <f ca="1">ROUND(C29*D29/10000,0)</f>
        <v>7756</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2922</v>
      </c>
      <c r="C30" s="229">
        <f ca="1">ROUND(IF(E2="工业",C29*M39,C29*M38),0)</f>
        <v>10205</v>
      </c>
      <c r="D30" s="2836"/>
      <c r="E30" s="942">
        <f ca="1">ROUND(C30*D30/10000,0)</f>
        <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82" t="s">
        <v>2928</v>
      </c>
      <c r="B33" s="2846" t="s">
        <v>2929</v>
      </c>
      <c r="C33" s="206">
        <f ca="1">ROUND(D5*C19*C20*C24*F33,0)</f>
        <v>15339</v>
      </c>
      <c r="D33" s="2830">
        <v>1000</v>
      </c>
      <c r="E33" s="200">
        <f ca="1">ROUND(C33*D33/10000,0)</f>
        <v>1534</v>
      </c>
      <c r="F33" s="200">
        <f>SUMIF(修正!A45:A56,G2,修正!B45:B56)</f>
        <v>0.7</v>
      </c>
      <c r="G33" s="200">
        <f t="shared" ref="G33" ca="1" si="6">ROUND(IF(E2="工业",C33*$M$39,C33*$M$38),0)</f>
        <v>3835</v>
      </c>
      <c r="H33" s="200">
        <f>D33</f>
        <v>1000</v>
      </c>
      <c r="I33" s="200">
        <f ca="1">ROUND(G33*H33/10000,0)</f>
        <v>384</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58" t="s">
        <v>2930</v>
      </c>
      <c r="C34" s="206">
        <f ca="1">ROUND(D5*C19*C20*C24*F34,0)</f>
        <v>8765</v>
      </c>
      <c r="D34" s="2830"/>
      <c r="E34" s="200">
        <f t="shared" ref="E34:E39" ca="1" si="7">ROUND(C34*D34/10000,0)</f>
        <v>0</v>
      </c>
      <c r="F34" s="200">
        <f>SUMIF(修正!A45:A56,G2,修正!C45:C56)</f>
        <v>0.4</v>
      </c>
      <c r="G34" s="200">
        <f ca="1">ROUND(IF(E2="工业",C34*$M$39,C34*$M$38),0)</f>
        <v>2191</v>
      </c>
      <c r="H34" s="200">
        <f t="shared" ref="H34:H39" si="8">D34</f>
        <v>0</v>
      </c>
      <c r="I34" s="200">
        <f t="shared" ref="I34:I39" ca="1" si="9">ROUND(G34*H34/10000,0)</f>
        <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58" t="s">
        <v>2931</v>
      </c>
      <c r="C35" s="206">
        <f ca="1">ROUND(D5*C19*C20*C24*F35,0)</f>
        <v>6135</v>
      </c>
      <c r="D35" s="2830"/>
      <c r="E35" s="200">
        <f t="shared" ca="1" si="7"/>
        <v>0</v>
      </c>
      <c r="F35" s="200">
        <f>SUMIF(修正!A45:A56,G2,修正!D45:D56)</f>
        <v>0.28000000000000003</v>
      </c>
      <c r="G35" s="200">
        <f ca="1">ROUND(IF(E2="工业",C35*$M$39,C35*$M$38),0)</f>
        <v>1534</v>
      </c>
      <c r="H35" s="200">
        <f t="shared" si="8"/>
        <v>0</v>
      </c>
      <c r="I35" s="200">
        <f t="shared" ca="1" si="9"/>
        <v>0</v>
      </c>
      <c r="J35" s="2847"/>
      <c r="K35" s="1370"/>
      <c r="L35" s="1370"/>
      <c r="M35" s="1370"/>
      <c r="N35" s="1370"/>
      <c r="O35" s="1370"/>
      <c r="P35" s="1370"/>
      <c r="Q35" s="1370"/>
      <c r="R35" s="1370"/>
      <c r="S35" s="1370"/>
      <c r="T35" s="1370"/>
      <c r="U35" s="1370"/>
      <c r="V35" s="1370"/>
      <c r="W35" s="1370"/>
      <c r="X35" s="1370"/>
      <c r="Y35" s="1370"/>
      <c r="Z35" s="1371"/>
    </row>
    <row r="36" spans="1:37" ht="13.5" thickBot="1">
      <c r="A36" s="3284"/>
      <c r="B36" s="2758" t="s">
        <v>2932</v>
      </c>
      <c r="C36" s="206">
        <f ca="1">ROUND(D5*C19*C20*C24*F36,0)</f>
        <v>5478</v>
      </c>
      <c r="D36" s="2830"/>
      <c r="E36" s="200">
        <f t="shared" ca="1" si="7"/>
        <v>0</v>
      </c>
      <c r="F36" s="200">
        <f>SUMIF(修正!A45:A56,G2,修正!E45:E56)</f>
        <v>0.25</v>
      </c>
      <c r="G36" s="200">
        <f ca="1">ROUND(IF(E2="工业",C36*$M$39,C36*$M$38),0)</f>
        <v>1370</v>
      </c>
      <c r="H36" s="200">
        <f t="shared" si="8"/>
        <v>0</v>
      </c>
      <c r="I36" s="200">
        <f t="shared" ca="1" si="9"/>
        <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f ca="1">ROUND(D5*C19*C20*C24*F37,0)</f>
        <v>5478</v>
      </c>
      <c r="D37" s="2830"/>
      <c r="E37" s="200">
        <f t="shared" ca="1" si="7"/>
        <v>0</v>
      </c>
      <c r="F37" s="206">
        <f>SUMIF(修正!A45:A56,G2,修正!F45:F56)</f>
        <v>0.25</v>
      </c>
      <c r="G37" s="200">
        <f ca="1">ROUND(IF(E2="工业",C37*$M$39,C37*$M$38),0)</f>
        <v>1370</v>
      </c>
      <c r="H37" s="200">
        <f t="shared" si="8"/>
        <v>0</v>
      </c>
      <c r="I37" s="200">
        <f t="shared" ca="1" si="9"/>
        <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f ca="1">ROUND(D5*C19*C41*C24*F38,0)</f>
        <v>0</v>
      </c>
      <c r="D38" s="2830"/>
      <c r="E38" s="200">
        <f t="shared" ca="1" si="7"/>
        <v>0</v>
      </c>
      <c r="F38" s="206">
        <f>SUMIF(修正!A45:A56,G2,修正!G45:G56)</f>
        <v>0.25</v>
      </c>
      <c r="G38" s="200">
        <f ca="1">ROUND(IF(E2="工业",C38*$M$39,C38*$M$38),0)</f>
        <v>0</v>
      </c>
      <c r="H38" s="200">
        <f t="shared" si="8"/>
        <v>0</v>
      </c>
      <c r="I38" s="200">
        <f t="shared" ca="1" si="9"/>
        <v>0</v>
      </c>
      <c r="J38" s="2847"/>
      <c r="K38" s="1370"/>
      <c r="L38" s="1879" t="s">
        <v>2936</v>
      </c>
      <c r="M38" s="2851">
        <v>0.25</v>
      </c>
      <c r="N38" s="1370"/>
      <c r="O38" s="1370"/>
      <c r="P38" s="1370"/>
      <c r="Q38" s="1370"/>
      <c r="R38" s="1370"/>
      <c r="S38" s="1370"/>
      <c r="T38" s="1370"/>
      <c r="U38" s="1370"/>
      <c r="V38" s="1370"/>
      <c r="W38" s="1370"/>
      <c r="X38" s="1370"/>
      <c r="Y38" s="1370"/>
      <c r="Z38" s="1371"/>
    </row>
    <row r="39" spans="1:37" ht="13.5" thickBot="1">
      <c r="A39" s="2834"/>
      <c r="B39" s="2852" t="s">
        <v>2937</v>
      </c>
      <c r="C39" s="229">
        <f ca="1">ROUND(D5*C19*C41*C24*F39,0)</f>
        <v>0</v>
      </c>
      <c r="D39" s="2836"/>
      <c r="E39" s="229">
        <f t="shared" ca="1" si="7"/>
        <v>0</v>
      </c>
      <c r="F39" s="932">
        <f>SUMIF(修正!A45:A56,G2,修正!H45:H56)</f>
        <v>0.2</v>
      </c>
      <c r="G39" s="229">
        <f ca="1">ROUND(IF(E2="工业",C39*$M$39,C39*$M$38),0)</f>
        <v>0</v>
      </c>
      <c r="H39" s="229">
        <f t="shared" si="8"/>
        <v>0</v>
      </c>
      <c r="I39" s="229">
        <f t="shared" ca="1" si="9"/>
        <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f ca="1">ROUND(POWER(1+E41,H41-G41)*(POWER(1+E41,G41)-1)/(POWER(1+E41,H41)-1),4)</f>
        <v>0</v>
      </c>
      <c r="D41" s="200" t="s">
        <v>2888</v>
      </c>
      <c r="E41" s="292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2939</v>
      </c>
      <c r="B46" s="2860">
        <f>1+E48</f>
        <v>1.0377000000000001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2940</v>
      </c>
      <c r="B47" s="1801" t="s">
        <v>2941</v>
      </c>
      <c r="C47" s="1801" t="s">
        <v>2942</v>
      </c>
      <c r="D47" s="1801" t="s">
        <v>2943</v>
      </c>
      <c r="E47" s="819" t="s">
        <v>2944</v>
      </c>
      <c r="F47" s="2864" t="s">
        <v>2945</v>
      </c>
      <c r="G47" s="1801" t="s">
        <v>754</v>
      </c>
      <c r="H47" s="2865" t="s">
        <v>2946</v>
      </c>
      <c r="I47" s="1801"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2948</v>
      </c>
      <c r="B48" s="2866" t="str">
        <f>估价对象房地状况!C4</f>
        <v>估价对象位于XX商圈，周边商业氛围成熟，人流量大，商业繁华度好</v>
      </c>
      <c r="C48" s="2763" t="s">
        <v>3077</v>
      </c>
      <c r="D48" s="1286">
        <f t="shared" ref="D48:D56" si="10">SUMIF($J$47:$N$47,C48,J48:N48)</f>
        <v>1.23E-2</v>
      </c>
      <c r="E48" s="821">
        <f>ROUND(SUM(D48:D56),4)</f>
        <v>3.7699999999999997E-2</v>
      </c>
      <c r="F48" s="2494">
        <f>IF(E2="商业",SUMIF(L1:L12,G2,N1:N12),"——")</f>
        <v>7.4999999999999997E-2</v>
      </c>
      <c r="G48" s="1284">
        <v>1.23E-2</v>
      </c>
      <c r="H48" s="1288">
        <f t="shared" ref="H48:H56" si="11">IFERROR(ROUNDDOWN($F$48*I48/2,4),"——")</f>
        <v>1.23E-2</v>
      </c>
      <c r="I48" s="820">
        <v>0.33</v>
      </c>
      <c r="J48" s="1285">
        <f t="shared" ref="J48:J56" si="12">K48+$G48</f>
        <v>2.46E-2</v>
      </c>
      <c r="K48" s="1285">
        <f t="shared" ref="K48:K56" si="13">$L48+$G48</f>
        <v>1.23E-2</v>
      </c>
      <c r="L48" s="1285">
        <v>0</v>
      </c>
      <c r="M48" s="1285">
        <f t="shared" ref="M48:N56" si="14">L48-$G48</f>
        <v>-1.23E-2</v>
      </c>
      <c r="N48" s="1285">
        <f t="shared" si="14"/>
        <v>-2.46E-2</v>
      </c>
      <c r="AA48" s="1371"/>
      <c r="AB48" s="1371"/>
      <c r="AC48" s="1371"/>
      <c r="AD48" s="1371"/>
      <c r="AE48" s="1371"/>
      <c r="AF48" s="1371"/>
      <c r="AG48" s="1371"/>
      <c r="AH48" s="1371"/>
      <c r="AI48" s="1371"/>
      <c r="AJ48" s="1371"/>
      <c r="AK48" s="1371"/>
    </row>
    <row r="49" spans="1:37" s="1370" customFormat="1" ht="51">
      <c r="A49" s="2863" t="s">
        <v>2949</v>
      </c>
      <c r="B49" s="2867" t="str">
        <f>估价对象房地状况!C18</f>
        <v>估价对象周边道路状况、公共交通通达情况、停车便捷程度，综合评价交通便捷度较好</v>
      </c>
      <c r="C49" s="2763" t="s">
        <v>3077</v>
      </c>
      <c r="D49" s="1286">
        <f t="shared" si="10"/>
        <v>9.2999999999999992E-3</v>
      </c>
      <c r="E49" s="822"/>
      <c r="F49" s="2494"/>
      <c r="G49" s="1284">
        <v>9.2999999999999992E-3</v>
      </c>
      <c r="H49" s="1288">
        <f t="shared" si="11"/>
        <v>9.2999999999999992E-3</v>
      </c>
      <c r="I49" s="820">
        <v>0.25</v>
      </c>
      <c r="J49" s="1285">
        <f t="shared" si="12"/>
        <v>1.8599999999999998E-2</v>
      </c>
      <c r="K49" s="1285">
        <f t="shared" si="13"/>
        <v>9.2999999999999992E-3</v>
      </c>
      <c r="L49" s="1285">
        <v>0</v>
      </c>
      <c r="M49" s="1285">
        <f t="shared" si="14"/>
        <v>-9.2999999999999992E-3</v>
      </c>
      <c r="N49" s="1285">
        <f t="shared" si="14"/>
        <v>-1.8599999999999998E-2</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t="s">
        <v>3077</v>
      </c>
      <c r="D50" s="1286">
        <f t="shared" si="10"/>
        <v>1.8E-3</v>
      </c>
      <c r="E50" s="822"/>
      <c r="F50" s="2494"/>
      <c r="G50" s="1284">
        <v>1.8E-3</v>
      </c>
      <c r="H50" s="1288">
        <f t="shared" si="11"/>
        <v>1.8E-3</v>
      </c>
      <c r="I50" s="820">
        <v>0.05</v>
      </c>
      <c r="J50" s="1285">
        <f t="shared" si="12"/>
        <v>3.5999999999999999E-3</v>
      </c>
      <c r="K50" s="1285">
        <f t="shared" si="13"/>
        <v>1.8E-3</v>
      </c>
      <c r="L50" s="1285">
        <v>0</v>
      </c>
      <c r="M50" s="1285">
        <f t="shared" si="14"/>
        <v>-1.8E-3</v>
      </c>
      <c r="N50" s="1285">
        <f t="shared" si="14"/>
        <v>-3.5999999999999999E-3</v>
      </c>
      <c r="AA50" s="1371"/>
      <c r="AB50" s="1371"/>
      <c r="AC50" s="1371"/>
      <c r="AD50" s="1371"/>
      <c r="AE50" s="1371"/>
      <c r="AF50" s="1371"/>
      <c r="AG50" s="1371"/>
      <c r="AH50" s="1371"/>
      <c r="AI50" s="1371"/>
      <c r="AJ50" s="1371"/>
      <c r="AK50" s="1371"/>
    </row>
    <row r="51" spans="1:37" s="1370" customFormat="1" ht="36.75">
      <c r="A51" s="2863" t="s">
        <v>2951</v>
      </c>
      <c r="B51" s="2868" t="s">
        <v>2952</v>
      </c>
      <c r="C51" s="2763" t="s">
        <v>3077</v>
      </c>
      <c r="D51" s="1286">
        <f t="shared" si="10"/>
        <v>1.8E-3</v>
      </c>
      <c r="E51" s="822"/>
      <c r="F51" s="2494"/>
      <c r="G51" s="1284">
        <v>1.8E-3</v>
      </c>
      <c r="H51" s="1288">
        <f t="shared" si="11"/>
        <v>1.8E-3</v>
      </c>
      <c r="I51" s="820">
        <v>0.05</v>
      </c>
      <c r="J51" s="1285">
        <f t="shared" si="12"/>
        <v>3.5999999999999999E-3</v>
      </c>
      <c r="K51" s="1285">
        <f t="shared" si="13"/>
        <v>1.8E-3</v>
      </c>
      <c r="L51" s="1285">
        <v>0</v>
      </c>
      <c r="M51" s="1285">
        <f t="shared" si="14"/>
        <v>-1.8E-3</v>
      </c>
      <c r="N51" s="1285">
        <f t="shared" si="14"/>
        <v>-3.5999999999999999E-3</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t="s">
        <v>3078</v>
      </c>
      <c r="D52" s="1286">
        <f t="shared" si="10"/>
        <v>0</v>
      </c>
      <c r="E52" s="822"/>
      <c r="F52" s="2494"/>
      <c r="G52" s="1284">
        <v>3.0000000000000001E-3</v>
      </c>
      <c r="H52" s="1288">
        <f t="shared" si="11"/>
        <v>3.0000000000000001E-3</v>
      </c>
      <c r="I52" s="820">
        <v>0.08</v>
      </c>
      <c r="J52" s="1285">
        <f t="shared" si="12"/>
        <v>6.0000000000000001E-3</v>
      </c>
      <c r="K52" s="1285">
        <f t="shared" si="13"/>
        <v>3.0000000000000001E-3</v>
      </c>
      <c r="L52" s="1285">
        <v>0</v>
      </c>
      <c r="M52" s="1285">
        <f t="shared" si="14"/>
        <v>-3.0000000000000001E-3</v>
      </c>
      <c r="N52" s="1285">
        <f t="shared" si="14"/>
        <v>-6.0000000000000001E-3</v>
      </c>
      <c r="AA52" s="1371"/>
      <c r="AB52" s="1371"/>
      <c r="AC52" s="1371"/>
      <c r="AD52" s="1371"/>
      <c r="AE52" s="1371"/>
      <c r="AF52" s="1371"/>
      <c r="AG52" s="1371"/>
      <c r="AH52" s="1371"/>
      <c r="AI52" s="1371"/>
      <c r="AJ52" s="1371"/>
      <c r="AK52" s="1371"/>
    </row>
    <row r="53" spans="1:37" s="1370" customFormat="1" ht="24">
      <c r="A53" s="2863" t="s">
        <v>2954</v>
      </c>
      <c r="B53" s="2869" t="s">
        <v>2955</v>
      </c>
      <c r="C53" s="2763" t="s">
        <v>3077</v>
      </c>
      <c r="D53" s="1286">
        <f t="shared" si="10"/>
        <v>1.1000000000000001E-3</v>
      </c>
      <c r="E53" s="822"/>
      <c r="F53" s="2494"/>
      <c r="G53" s="1284">
        <v>1.1000000000000001E-3</v>
      </c>
      <c r="H53" s="1288">
        <f t="shared" si="11"/>
        <v>1.1000000000000001E-3</v>
      </c>
      <c r="I53" s="820">
        <v>0.03</v>
      </c>
      <c r="J53" s="1285">
        <f t="shared" si="12"/>
        <v>2.2000000000000001E-3</v>
      </c>
      <c r="K53" s="1285">
        <f t="shared" si="13"/>
        <v>1.1000000000000001E-3</v>
      </c>
      <c r="L53" s="1285">
        <v>0</v>
      </c>
      <c r="M53" s="1285">
        <f t="shared" si="14"/>
        <v>-1.1000000000000001E-3</v>
      </c>
      <c r="N53" s="1285">
        <f t="shared" si="14"/>
        <v>-2.2000000000000001E-3</v>
      </c>
      <c r="AA53" s="1371"/>
      <c r="AB53" s="1371"/>
      <c r="AC53" s="1371"/>
      <c r="AD53" s="1371"/>
      <c r="AE53" s="1371"/>
      <c r="AF53" s="1371"/>
      <c r="AG53" s="1371"/>
      <c r="AH53" s="1371"/>
      <c r="AI53" s="1371"/>
      <c r="AJ53" s="1371"/>
      <c r="AK53" s="1371"/>
    </row>
    <row r="54" spans="1:37" s="1370" customFormat="1" ht="25.5">
      <c r="A54" s="2870" t="s">
        <v>2956</v>
      </c>
      <c r="B54" s="1725" t="str">
        <f>估价对象房地状况!C21</f>
        <v>估价对象所在区域公共配套设施齐备情况</v>
      </c>
      <c r="C54" s="2763" t="s">
        <v>3077</v>
      </c>
      <c r="D54" s="1286">
        <f t="shared" si="10"/>
        <v>1.8E-3</v>
      </c>
      <c r="E54" s="822"/>
      <c r="F54" s="2494"/>
      <c r="G54" s="1284">
        <v>1.8E-3</v>
      </c>
      <c r="H54" s="1288">
        <f t="shared" si="11"/>
        <v>1.8E-3</v>
      </c>
      <c r="I54" s="820">
        <v>0.05</v>
      </c>
      <c r="J54" s="1285">
        <f t="shared" si="12"/>
        <v>3.5999999999999999E-3</v>
      </c>
      <c r="K54" s="1285">
        <f t="shared" si="13"/>
        <v>1.8E-3</v>
      </c>
      <c r="L54" s="1285">
        <v>0</v>
      </c>
      <c r="M54" s="1285">
        <f t="shared" si="14"/>
        <v>-1.8E-3</v>
      </c>
      <c r="N54" s="1285">
        <f t="shared" si="14"/>
        <v>-3.5999999999999999E-3</v>
      </c>
      <c r="AA54" s="1371"/>
      <c r="AB54" s="1371"/>
      <c r="AC54" s="1371"/>
      <c r="AD54" s="1371"/>
      <c r="AE54" s="1371"/>
      <c r="AF54" s="1371"/>
      <c r="AG54" s="1371"/>
      <c r="AH54" s="1371"/>
      <c r="AI54" s="1371"/>
      <c r="AJ54" s="1371"/>
      <c r="AK54" s="1371"/>
    </row>
    <row r="55" spans="1:37" s="1370" customFormat="1" ht="25.5">
      <c r="A55" s="2870" t="s">
        <v>2957</v>
      </c>
      <c r="B55" s="2867" t="str">
        <f>估价对象房地状况!C22</f>
        <v>估价对象所在区域基础设施水平</v>
      </c>
      <c r="C55" s="2763" t="s">
        <v>3079</v>
      </c>
      <c r="D55" s="1286">
        <f t="shared" si="10"/>
        <v>7.4000000000000003E-3</v>
      </c>
      <c r="E55" s="822"/>
      <c r="F55" s="2494"/>
      <c r="G55" s="1284">
        <v>3.7000000000000002E-3</v>
      </c>
      <c r="H55" s="1288">
        <f t="shared" si="11"/>
        <v>3.7000000000000002E-3</v>
      </c>
      <c r="I55" s="820">
        <v>0.1</v>
      </c>
      <c r="J55" s="1285">
        <f t="shared" si="12"/>
        <v>7.4000000000000003E-3</v>
      </c>
      <c r="K55" s="1285">
        <f t="shared" si="13"/>
        <v>3.7000000000000002E-3</v>
      </c>
      <c r="L55" s="1285">
        <v>0</v>
      </c>
      <c r="M55" s="1285">
        <f t="shared" si="14"/>
        <v>-3.7000000000000002E-3</v>
      </c>
      <c r="N55" s="1285">
        <f t="shared" si="14"/>
        <v>-7.4000000000000003E-3</v>
      </c>
      <c r="AA55" s="1371"/>
      <c r="AB55" s="1371"/>
      <c r="AC55" s="1371"/>
      <c r="AD55" s="1371"/>
      <c r="AE55" s="1371"/>
      <c r="AF55" s="1371"/>
      <c r="AG55" s="1371"/>
      <c r="AH55" s="1371"/>
      <c r="AI55" s="1371"/>
      <c r="AJ55" s="1371"/>
      <c r="AK55" s="1371"/>
    </row>
    <row r="56" spans="1:37" s="1370" customFormat="1" ht="39" thickBot="1">
      <c r="A56" s="2871" t="s">
        <v>2958</v>
      </c>
      <c r="B56" s="2872" t="str">
        <f>估价对象房地状况!C20</f>
        <v>区域自然环境：；人文环境；综合评价环境状况一般</v>
      </c>
      <c r="C56" s="2763" t="s">
        <v>3077</v>
      </c>
      <c r="D56" s="1286">
        <f t="shared" si="10"/>
        <v>2.2000000000000001E-3</v>
      </c>
      <c r="E56" s="825"/>
      <c r="F56" s="2494"/>
      <c r="G56" s="1284">
        <v>2.2000000000000001E-3</v>
      </c>
      <c r="H56" s="1288">
        <f t="shared" si="11"/>
        <v>2.2000000000000001E-3</v>
      </c>
      <c r="I56" s="824">
        <v>0.06</v>
      </c>
      <c r="J56" s="1285">
        <f t="shared" si="12"/>
        <v>4.4000000000000003E-3</v>
      </c>
      <c r="K56" s="1285">
        <f t="shared" si="13"/>
        <v>2.2000000000000001E-3</v>
      </c>
      <c r="L56" s="1285">
        <v>0</v>
      </c>
      <c r="M56" s="1285">
        <f t="shared" si="14"/>
        <v>-2.2000000000000001E-3</v>
      </c>
      <c r="N56" s="1285">
        <f t="shared" si="14"/>
        <v>-4.4000000000000003E-3</v>
      </c>
      <c r="AA56" s="1371"/>
      <c r="AB56" s="1371"/>
      <c r="AC56" s="1371"/>
      <c r="AD56" s="1371"/>
      <c r="AE56" s="1371"/>
      <c r="AF56" s="1371"/>
      <c r="AG56" s="1371"/>
      <c r="AH56" s="1371"/>
      <c r="AI56" s="1371"/>
      <c r="AJ56" s="1371"/>
      <c r="AK56" s="1371"/>
    </row>
    <row r="57" spans="1:37" s="1370" customFormat="1" ht="15">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2940</v>
      </c>
      <c r="B58" s="1801"/>
      <c r="C58" s="1801" t="s">
        <v>2942</v>
      </c>
      <c r="D58" s="1801" t="s">
        <v>2943</v>
      </c>
      <c r="E58" s="819" t="s">
        <v>2944</v>
      </c>
      <c r="F58" s="2864" t="s">
        <v>2960</v>
      </c>
      <c r="G58" s="1801" t="s">
        <v>754</v>
      </c>
      <c r="H58" s="2865" t="s">
        <v>2946</v>
      </c>
      <c r="I58" s="1801"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2940</v>
      </c>
      <c r="B69" s="1801"/>
      <c r="C69" s="1801" t="s">
        <v>2942</v>
      </c>
      <c r="D69" s="1801" t="s">
        <v>2943</v>
      </c>
      <c r="E69" s="819" t="s">
        <v>2944</v>
      </c>
      <c r="F69" s="2864" t="s">
        <v>2960</v>
      </c>
      <c r="G69" s="1801" t="s">
        <v>754</v>
      </c>
      <c r="H69" s="2865" t="s">
        <v>2946</v>
      </c>
      <c r="I69" s="1801"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2966</v>
      </c>
      <c r="B79" s="2860">
        <f>1+E81</f>
        <v>1</v>
      </c>
      <c r="C79" s="814"/>
      <c r="D79" s="814"/>
      <c r="E79" s="815"/>
      <c r="F79" s="2862"/>
      <c r="G79" s="6"/>
      <c r="H79" s="6"/>
      <c r="I79" s="6"/>
      <c r="J79" s="7"/>
      <c r="K79" s="7"/>
      <c r="L79" s="7"/>
      <c r="M79" s="7"/>
      <c r="N79" s="7"/>
      <c r="Z79" s="2713"/>
      <c r="AA79" s="2781"/>
      <c r="AG79" s="1372"/>
      <c r="AK79" s="2781"/>
    </row>
    <row r="80" spans="1:37" ht="24.75">
      <c r="A80" s="2863" t="s">
        <v>2940</v>
      </c>
      <c r="B80" s="1801"/>
      <c r="C80" s="1801" t="s">
        <v>2942</v>
      </c>
      <c r="D80" s="1801" t="s">
        <v>2943</v>
      </c>
      <c r="E80" s="819" t="s">
        <v>2944</v>
      </c>
      <c r="F80" s="2864" t="s">
        <v>2960</v>
      </c>
      <c r="G80" s="1801" t="s">
        <v>754</v>
      </c>
      <c r="H80" s="2865" t="s">
        <v>2946</v>
      </c>
      <c r="I80" s="1801" t="s">
        <v>2947</v>
      </c>
      <c r="J80" s="603" t="s">
        <v>2597</v>
      </c>
      <c r="K80" s="603" t="s">
        <v>2598</v>
      </c>
      <c r="L80" s="603" t="s">
        <v>2599</v>
      </c>
      <c r="M80" s="603" t="s">
        <v>2600</v>
      </c>
      <c r="N80" s="603" t="s">
        <v>2601</v>
      </c>
      <c r="Z80" s="2713"/>
      <c r="AA80" s="2781"/>
      <c r="AG80" s="1372"/>
      <c r="AK80" s="2781"/>
    </row>
    <row r="81" spans="1:37" ht="38.25">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76" t="s">
        <v>2970</v>
      </c>
      <c r="B90" s="3276"/>
      <c r="C90" s="3276"/>
      <c r="D90" s="3276"/>
      <c r="E90" s="3276"/>
      <c r="F90" s="3276"/>
      <c r="G90" s="3276"/>
      <c r="H90" s="3276"/>
      <c r="I90" s="3276"/>
      <c r="J90" s="3276"/>
      <c r="K90" s="2877"/>
      <c r="L90" s="2877"/>
      <c r="M90" s="2877"/>
      <c r="N90" s="2877"/>
    </row>
    <row r="91" spans="1:37">
      <c r="A91" s="3278" t="s">
        <v>2971</v>
      </c>
      <c r="B91" s="3278" t="s">
        <v>2972</v>
      </c>
      <c r="C91" s="2831" t="s">
        <v>2973</v>
      </c>
      <c r="D91" s="2832"/>
      <c r="E91" s="2832"/>
      <c r="F91" s="2832"/>
      <c r="G91" s="2832"/>
      <c r="H91" s="2832"/>
      <c r="I91" s="2832"/>
      <c r="J91" s="2878"/>
      <c r="K91" s="2879"/>
      <c r="L91" s="2879"/>
      <c r="M91" s="2879"/>
      <c r="N91" s="2879"/>
    </row>
    <row r="92" spans="1:37">
      <c r="A92" s="3278"/>
      <c r="B92" s="3278"/>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9"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0"/>
      <c r="B99" s="2880" t="s">
        <v>2856</v>
      </c>
      <c r="C99" s="2882">
        <f>$I$3</f>
        <v>1</v>
      </c>
      <c r="D99" s="2882">
        <f t="shared" ref="D99:M99" si="30">$I$3</f>
        <v>1</v>
      </c>
      <c r="E99" s="2882">
        <f t="shared" si="30"/>
        <v>1</v>
      </c>
      <c r="F99" s="2882">
        <f t="shared" si="30"/>
        <v>1</v>
      </c>
      <c r="G99" s="2882">
        <f t="shared" si="30"/>
        <v>1</v>
      </c>
      <c r="H99" s="2882">
        <f t="shared" si="30"/>
        <v>1</v>
      </c>
      <c r="I99" s="2882">
        <f t="shared" si="30"/>
        <v>1</v>
      </c>
      <c r="J99" s="2882">
        <f t="shared" si="30"/>
        <v>1</v>
      </c>
      <c r="K99" s="2882">
        <f t="shared" si="30"/>
        <v>1</v>
      </c>
      <c r="L99" s="2882">
        <f t="shared" si="30"/>
        <v>1</v>
      </c>
      <c r="M99" s="2882">
        <f t="shared" si="30"/>
        <v>1</v>
      </c>
      <c r="N99" s="2882">
        <f>$I$3</f>
        <v>1</v>
      </c>
    </row>
    <row r="100" spans="1:14">
      <c r="A100" s="3281"/>
      <c r="B100" s="2880">
        <v>7</v>
      </c>
      <c r="C100" s="2883">
        <f>(-0.163*(C99^2)-0.59*C99+7617)*(10^(-4))</f>
        <v>0.76162470000000004</v>
      </c>
      <c r="D100" s="2883">
        <f>(-0.163*(D99^2)-0.59*D99+7617)*(10^(-4))</f>
        <v>0.76162470000000004</v>
      </c>
      <c r="E100" s="2883">
        <f>(-0.161*(E99^2)-7.509*E99+6533)*(10^(-4))</f>
        <v>0.65253300000000003</v>
      </c>
      <c r="F100" s="2883">
        <f>(-0.161*(F99^2)-7.509*F99+6533)*(10^(-4))</f>
        <v>0.65253300000000003</v>
      </c>
      <c r="G100" s="2883">
        <f>(-0.161*(G99^2)-7.509*G99+6533)*(10^(-4))</f>
        <v>0.65253300000000003</v>
      </c>
      <c r="H100" s="2883">
        <f>(-0.161*(H99^2)-7.509*H99+6533)*(10^(-4))</f>
        <v>0.65253300000000003</v>
      </c>
      <c r="I100" s="2883">
        <f>(-0.161*(I99^2)-7.509*I99+6533)*(10^(-4))</f>
        <v>0.65253300000000003</v>
      </c>
      <c r="J100" s="2883">
        <f>(-0.214*(J99^2)-21.991*J99+4665)*(10^(-4))</f>
        <v>0.46427950000000001</v>
      </c>
      <c r="K100" s="2883">
        <f>(-0.214*(K99^2)-21.991*K99+4665)*(10^(-4))</f>
        <v>0.46427950000000001</v>
      </c>
      <c r="L100" s="2883">
        <f>(-0.214*(L99^2)-21.991*L99+4665)*(10^(-4))</f>
        <v>0.46427950000000001</v>
      </c>
      <c r="M100" s="2883">
        <f>(-0.214*(M99^2)-21.991*M99+4665)*(10^(-4))</f>
        <v>0.46427950000000001</v>
      </c>
      <c r="N100" s="2883">
        <f>(-0.214*(N99^2)-21.991*N99+4665)*(10^(-4))</f>
        <v>0.46427950000000001</v>
      </c>
    </row>
    <row r="101" spans="1:14">
      <c r="A101" s="3279" t="s">
        <v>2975</v>
      </c>
      <c r="B101" s="2884" t="s">
        <v>2976</v>
      </c>
      <c r="C101" s="2885">
        <f>$G$3</f>
        <v>2.5</v>
      </c>
      <c r="D101" s="2885">
        <f t="shared" ref="D101:N101" si="31">$G$3</f>
        <v>2.5</v>
      </c>
      <c r="E101" s="2885">
        <f t="shared" si="31"/>
        <v>2.5</v>
      </c>
      <c r="F101" s="2885">
        <f t="shared" si="31"/>
        <v>2.5</v>
      </c>
      <c r="G101" s="2885">
        <f t="shared" si="31"/>
        <v>2.5</v>
      </c>
      <c r="H101" s="2885">
        <f t="shared" si="31"/>
        <v>2.5</v>
      </c>
      <c r="I101" s="2885">
        <f t="shared" si="31"/>
        <v>2.5</v>
      </c>
      <c r="J101" s="2885">
        <f t="shared" si="31"/>
        <v>2.5</v>
      </c>
      <c r="K101" s="2885">
        <f t="shared" si="31"/>
        <v>2.5</v>
      </c>
      <c r="L101" s="2885">
        <f t="shared" si="31"/>
        <v>2.5</v>
      </c>
      <c r="M101" s="2885">
        <f t="shared" si="31"/>
        <v>2.5</v>
      </c>
      <c r="N101" s="2885">
        <f t="shared" si="31"/>
        <v>2.5</v>
      </c>
    </row>
    <row r="102" spans="1:14">
      <c r="A102" s="3280"/>
      <c r="B102" s="2880">
        <v>1</v>
      </c>
      <c r="C102" s="2881">
        <f>1.9362/C101</f>
        <v>0.77447999999999995</v>
      </c>
      <c r="D102" s="2881">
        <f>1.9362/D101</f>
        <v>0.77447999999999995</v>
      </c>
      <c r="E102" s="2881">
        <f>1.8629/E101</f>
        <v>0.74516000000000004</v>
      </c>
      <c r="F102" s="2881">
        <f>1.8629/F101</f>
        <v>0.74516000000000004</v>
      </c>
      <c r="G102" s="2881">
        <f>1.8629/G101</f>
        <v>0.74516000000000004</v>
      </c>
      <c r="H102" s="2881">
        <f>1.8629/H101</f>
        <v>0.74516000000000004</v>
      </c>
      <c r="I102" s="2881">
        <f>1.8629/I101</f>
        <v>0.74516000000000004</v>
      </c>
      <c r="J102" s="2881">
        <f>1.942/J101</f>
        <v>0.77679999999999993</v>
      </c>
      <c r="K102" s="2881">
        <f>1.942/K101</f>
        <v>0.77679999999999993</v>
      </c>
      <c r="L102" s="2881">
        <f>1.942/L101</f>
        <v>0.77679999999999993</v>
      </c>
      <c r="M102" s="2881">
        <f>1.942/M101</f>
        <v>0.77679999999999993</v>
      </c>
      <c r="N102" s="2881">
        <f>1.942/N101</f>
        <v>0.77679999999999993</v>
      </c>
    </row>
    <row r="103" spans="1:14">
      <c r="A103" s="3280"/>
      <c r="B103" s="2880">
        <v>2</v>
      </c>
      <c r="C103" s="2881">
        <f>1.4198/C101</f>
        <v>0.56791999999999998</v>
      </c>
      <c r="D103" s="2881">
        <f>1.4198/D101</f>
        <v>0.56791999999999998</v>
      </c>
      <c r="E103" s="2881">
        <f>1.3372/E101</f>
        <v>0.53488000000000002</v>
      </c>
      <c r="F103" s="2881">
        <f>1.3372/F101</f>
        <v>0.53488000000000002</v>
      </c>
      <c r="G103" s="2881">
        <f>1.3372/G101</f>
        <v>0.53488000000000002</v>
      </c>
      <c r="H103" s="2881">
        <f>1.3372/H101</f>
        <v>0.53488000000000002</v>
      </c>
      <c r="I103" s="2881">
        <f>1.3372/I101</f>
        <v>0.53488000000000002</v>
      </c>
      <c r="J103" s="2881">
        <f>1.2799/J101</f>
        <v>0.51195999999999997</v>
      </c>
      <c r="K103" s="2881">
        <f>1.2799/K101</f>
        <v>0.51195999999999997</v>
      </c>
      <c r="L103" s="2881">
        <f>1.2799/L101</f>
        <v>0.51195999999999997</v>
      </c>
      <c r="M103" s="2881">
        <f>1.2799/M101</f>
        <v>0.51195999999999997</v>
      </c>
      <c r="N103" s="2881">
        <f>1.2799/N101</f>
        <v>0.51195999999999997</v>
      </c>
    </row>
    <row r="104" spans="1:14">
      <c r="A104" s="3280"/>
      <c r="B104" s="2880">
        <v>3</v>
      </c>
      <c r="C104" s="2881">
        <f>1.1594/C101</f>
        <v>0.46376000000000001</v>
      </c>
      <c r="D104" s="2881">
        <f>1.1594/D101</f>
        <v>0.46376000000000001</v>
      </c>
      <c r="E104" s="2881">
        <f>1.0788/E101</f>
        <v>0.43152000000000001</v>
      </c>
      <c r="F104" s="2881">
        <f>1.0788/F101</f>
        <v>0.43152000000000001</v>
      </c>
      <c r="G104" s="2881">
        <f>1.0788/G101</f>
        <v>0.43152000000000001</v>
      </c>
      <c r="H104" s="2881">
        <f>1.0788/H101</f>
        <v>0.43152000000000001</v>
      </c>
      <c r="I104" s="2881">
        <f>1.0788/I101</f>
        <v>0.43152000000000001</v>
      </c>
      <c r="J104" s="2881">
        <f>1.0072/J101</f>
        <v>0.40288000000000002</v>
      </c>
      <c r="K104" s="2881">
        <f>1.0072/K101</f>
        <v>0.40288000000000002</v>
      </c>
      <c r="L104" s="2881">
        <f>1.0072/L101</f>
        <v>0.40288000000000002</v>
      </c>
      <c r="M104" s="2881">
        <f>1.0072/M101</f>
        <v>0.40288000000000002</v>
      </c>
      <c r="N104" s="2881">
        <f>1.0072/N101</f>
        <v>0.40288000000000002</v>
      </c>
    </row>
    <row r="105" spans="1:14">
      <c r="A105" s="3280"/>
      <c r="B105" s="2880">
        <v>4</v>
      </c>
      <c r="C105" s="2881">
        <f>0.9622/C101</f>
        <v>0.38488</v>
      </c>
      <c r="D105" s="2881">
        <f>0.9622/D101</f>
        <v>0.38488</v>
      </c>
      <c r="E105" s="2881">
        <f>0.8656/E101</f>
        <v>0.34623999999999999</v>
      </c>
      <c r="F105" s="2881">
        <f>0.8656/F101</f>
        <v>0.34623999999999999</v>
      </c>
      <c r="G105" s="2881">
        <f>0.8656/G101</f>
        <v>0.34623999999999999</v>
      </c>
      <c r="H105" s="2881">
        <f>0.8656/H101</f>
        <v>0.34623999999999999</v>
      </c>
      <c r="I105" s="2881">
        <f>0.8656/I101</f>
        <v>0.34623999999999999</v>
      </c>
      <c r="J105" s="2881">
        <f>0.7525/J101</f>
        <v>0.30099999999999999</v>
      </c>
      <c r="K105" s="2881">
        <f>0.7525/K101</f>
        <v>0.30099999999999999</v>
      </c>
      <c r="L105" s="2881">
        <f>0.7525/L101</f>
        <v>0.30099999999999999</v>
      </c>
      <c r="M105" s="2881">
        <f>0.7525/M101</f>
        <v>0.30099999999999999</v>
      </c>
      <c r="N105" s="2881">
        <f>0.7525/N101</f>
        <v>0.30099999999999999</v>
      </c>
    </row>
    <row r="106" spans="1:14">
      <c r="A106" s="3280"/>
      <c r="B106" s="2880">
        <v>5</v>
      </c>
      <c r="C106" s="2881">
        <f>0.8417/C101</f>
        <v>0.33667999999999998</v>
      </c>
      <c r="D106" s="2881">
        <f>0.8417/D101</f>
        <v>0.33667999999999998</v>
      </c>
      <c r="E106" s="2881">
        <f>0.7371/E101</f>
        <v>0.29483999999999999</v>
      </c>
      <c r="F106" s="2881">
        <f>0.7371/F101</f>
        <v>0.29483999999999999</v>
      </c>
      <c r="G106" s="2881">
        <f>0.7371/G101</f>
        <v>0.29483999999999999</v>
      </c>
      <c r="H106" s="2881">
        <f>0.7371/H101</f>
        <v>0.29483999999999999</v>
      </c>
      <c r="I106" s="2881">
        <f>0.7371/I101</f>
        <v>0.29483999999999999</v>
      </c>
      <c r="J106" s="2881">
        <f>0.5659/J101</f>
        <v>0.22635999999999998</v>
      </c>
      <c r="K106" s="2881">
        <f>0.5659/K101</f>
        <v>0.22635999999999998</v>
      </c>
      <c r="L106" s="2881">
        <f>0.5659/L101</f>
        <v>0.22635999999999998</v>
      </c>
      <c r="M106" s="2881">
        <f>0.5659/M101</f>
        <v>0.22635999999999998</v>
      </c>
      <c r="N106" s="2881">
        <f>0.5659/N101</f>
        <v>0.22635999999999998</v>
      </c>
    </row>
    <row r="107" spans="1:14">
      <c r="A107" s="3280"/>
      <c r="B107" s="2880">
        <v>6</v>
      </c>
      <c r="C107" s="2881">
        <f>0.7608/C101</f>
        <v>0.30432000000000003</v>
      </c>
      <c r="D107" s="2881">
        <f>0.7608/D101</f>
        <v>0.30432000000000003</v>
      </c>
      <c r="E107" s="2881">
        <f>0.6482/E101</f>
        <v>0.25928000000000001</v>
      </c>
      <c r="F107" s="2881">
        <f>0.6482/F101</f>
        <v>0.25928000000000001</v>
      </c>
      <c r="G107" s="2881">
        <f>0.6482/G101</f>
        <v>0.25928000000000001</v>
      </c>
      <c r="H107" s="2881">
        <f>0.6482/H101</f>
        <v>0.25928000000000001</v>
      </c>
      <c r="I107" s="2881">
        <f>0.6482/I101</f>
        <v>0.25928000000000001</v>
      </c>
      <c r="J107" s="2881">
        <f>0.4525/J101</f>
        <v>0.18099999999999999</v>
      </c>
      <c r="K107" s="2881">
        <f>0.4525/K101</f>
        <v>0.18099999999999999</v>
      </c>
      <c r="L107" s="2881">
        <f>0.4525/L101</f>
        <v>0.18099999999999999</v>
      </c>
      <c r="M107" s="2881">
        <f>0.4525/M101</f>
        <v>0.18099999999999999</v>
      </c>
      <c r="N107" s="2881">
        <f>0.4525/N101</f>
        <v>0.18099999999999999</v>
      </c>
    </row>
    <row r="108" spans="1:14">
      <c r="A108" s="3280"/>
      <c r="B108" s="3138" t="s">
        <v>2977</v>
      </c>
      <c r="C108" s="2882">
        <f>C99</f>
        <v>1</v>
      </c>
      <c r="D108" s="2882">
        <f t="shared" ref="D108:N108" si="32">D99</f>
        <v>1</v>
      </c>
      <c r="E108" s="2882">
        <f t="shared" si="32"/>
        <v>1</v>
      </c>
      <c r="F108" s="2882">
        <f t="shared" si="32"/>
        <v>1</v>
      </c>
      <c r="G108" s="2882">
        <f t="shared" si="32"/>
        <v>1</v>
      </c>
      <c r="H108" s="2882">
        <f t="shared" si="32"/>
        <v>1</v>
      </c>
      <c r="I108" s="2882">
        <f t="shared" si="32"/>
        <v>1</v>
      </c>
      <c r="J108" s="2882">
        <f t="shared" si="32"/>
        <v>1</v>
      </c>
      <c r="K108" s="2882">
        <f t="shared" si="32"/>
        <v>1</v>
      </c>
      <c r="L108" s="2882">
        <f t="shared" si="32"/>
        <v>1</v>
      </c>
      <c r="M108" s="2882">
        <f t="shared" si="32"/>
        <v>1</v>
      </c>
      <c r="N108" s="2882">
        <f t="shared" si="32"/>
        <v>1</v>
      </c>
    </row>
    <row r="109" spans="1:14">
      <c r="A109" s="3281"/>
      <c r="B109" s="3139"/>
      <c r="C109" s="2883">
        <f>(-0.163*(C108^2)-0.59*C108+7617)*(10^(-4))/C101</f>
        <v>0.30464988000000004</v>
      </c>
      <c r="D109" s="2883">
        <f>(-0.163*(D108^2)-0.59*D108+7617)*(10^(-4))/D101</f>
        <v>0.30464988000000004</v>
      </c>
      <c r="E109" s="2883">
        <f>(-0.161*(E108^2)-7.509*E108+6533)*(10^(-4))/E101</f>
        <v>0.2610132</v>
      </c>
      <c r="F109" s="2883">
        <f>(-0.161*(F108^2)-7.509*F108+6533)*(10^(-4))/F101</f>
        <v>0.2610132</v>
      </c>
      <c r="G109" s="2883">
        <f>(-0.161*(G108^2)-7.509*G108+6533)*(10^(-4))/G101</f>
        <v>0.2610132</v>
      </c>
      <c r="H109" s="2883">
        <f>(-0.161*(H108^2)-7.509*H108+6533)*(10^(-4))/H101</f>
        <v>0.2610132</v>
      </c>
      <c r="I109" s="2883">
        <f>(-0.161*(I108^2)-7.509*I108+6533)*(10^(-4))/I101</f>
        <v>0.2610132</v>
      </c>
      <c r="J109" s="2883">
        <f>(-0.214*(J108^2)-21.991*J108+4665)*(10^(-4))/J101</f>
        <v>0.18571180000000001</v>
      </c>
      <c r="K109" s="2883">
        <f>(-0.214*(K108^2)-21.991*K108+4665)*(10^(-4))/K101</f>
        <v>0.18571180000000001</v>
      </c>
      <c r="L109" s="2883">
        <f>(-0.214*(L108^2)-21.991*L108+4665)*(10^(-4))/L101</f>
        <v>0.18571180000000001</v>
      </c>
      <c r="M109" s="2883">
        <f>(-0.214*(M108^2)-21.991*M108+4665)*(10^(-4))/M101</f>
        <v>0.18571180000000001</v>
      </c>
      <c r="N109" s="2883">
        <f>(-0.214*(N108^2)-21.991*N108+4665)*(10^(-4))/N101</f>
        <v>0.18571180000000001</v>
      </c>
    </row>
    <row r="110" spans="1:14">
      <c r="A110" s="3277" t="s">
        <v>2978</v>
      </c>
      <c r="B110" s="3277"/>
      <c r="C110" s="3277"/>
      <c r="D110" s="3277"/>
      <c r="E110" s="3277"/>
      <c r="F110" s="3277"/>
      <c r="G110" s="3277"/>
      <c r="H110" s="3277"/>
      <c r="I110" s="3277"/>
      <c r="J110" s="3277"/>
      <c r="K110" s="2886"/>
      <c r="L110" s="2886"/>
      <c r="M110" s="2886"/>
      <c r="N110" s="2886"/>
    </row>
    <row r="112" spans="1:14" ht="13.5" thickBot="1"/>
    <row r="113" spans="1:13" ht="25.5" thickBot="1">
      <c r="A113" s="903" t="s">
        <v>2979</v>
      </c>
      <c r="B113" s="1287">
        <f>G3</f>
        <v>2.5</v>
      </c>
      <c r="C113" s="904" t="s">
        <v>2980</v>
      </c>
      <c r="D113" s="905">
        <f>SUMPRODUCT((A115:A118=F113)*(B114:M114=H113)*B115:M118)</f>
        <v>0.80589999999999995</v>
      </c>
      <c r="E113" s="2717" t="s">
        <v>2814</v>
      </c>
      <c r="F113" s="2888" t="str">
        <f>E2</f>
        <v>商业</v>
      </c>
      <c r="G113" s="2717" t="s">
        <v>2815</v>
      </c>
      <c r="H113" s="2888" t="str">
        <f>G2</f>
        <v>四级</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2879</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2880</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SUMPRODUCT((A105:A204=ROUNDDOWN('基准地价修正（1层+地下1层）'!G3,1))*(B104:M104='基准地价修正（1层+地下1层）'!G2)*(B105:M204))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A4" sqref="A4:J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2804</v>
      </c>
      <c r="B1" s="241"/>
      <c r="C1" s="245" t="s">
        <v>2805</v>
      </c>
      <c r="D1" s="388">
        <f>SUM(D29:D30,D33:D39)</f>
        <v>2900</v>
      </c>
      <c r="E1" s="2710"/>
      <c r="F1" s="2710"/>
      <c r="G1" s="2710"/>
      <c r="H1" s="2710"/>
      <c r="I1" s="2710"/>
      <c r="J1" s="2710"/>
      <c r="K1" s="1370"/>
      <c r="L1" s="2711" t="s">
        <v>2806</v>
      </c>
      <c r="M1" s="1080">
        <f>SUMPRODUCT((区片价!B5:B9=I2)*(区片价!C3:F3=E2)*(区片价!C5:F9))</f>
        <v>0</v>
      </c>
      <c r="N1" s="1083">
        <f>SUMPRODUCT((因素修正幅度!B5:B9=I2)*(因素修正幅度!C3:F3=E2)*(因素修正幅度!C5:F9))</f>
        <v>0</v>
      </c>
      <c r="O1" s="2712"/>
      <c r="P1" s="271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8497</v>
      </c>
      <c r="C2" s="2714" t="s">
        <v>2813</v>
      </c>
      <c r="D2" s="2715" t="s">
        <v>2814</v>
      </c>
      <c r="E2" s="2716" t="s">
        <v>1372</v>
      </c>
      <c r="F2" s="2715" t="s">
        <v>2815</v>
      </c>
      <c r="G2" s="2717" t="str">
        <f>IF(E2="商业",项目基本情况!B37,IF(E2="办公",项目基本情况!C37,IF(E2="住宅",项目基本情况!D37,项目基本情况!E37)))</f>
        <v>四级</v>
      </c>
      <c r="H2" s="2715" t="s">
        <v>2816</v>
      </c>
      <c r="I2" s="2717" t="str">
        <f>IF(E2="商业",项目基本情况!B38,IF(E2="办公",项目基本情况!C38,IF(E2="住宅",项目基本情况!D38,项目基本情况!E38)))</f>
        <v>Ⅳ-02</v>
      </c>
      <c r="J2" s="2718"/>
      <c r="K2" s="1370"/>
      <c r="L2" s="271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40821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2818</v>
      </c>
      <c r="B3" s="248">
        <f ca="1">ROUND(B2*10000/D1,0)</f>
        <v>29300</v>
      </c>
      <c r="C3" s="2714" t="s">
        <v>2819</v>
      </c>
      <c r="D3" s="2715" t="s">
        <v>2820</v>
      </c>
      <c r="E3" s="2720" t="s">
        <v>3072</v>
      </c>
      <c r="F3" s="2721" t="s">
        <v>3073</v>
      </c>
      <c r="G3" s="916">
        <f>IF(F3="宗地容积率",'数据-汇总表'!I4,IF(F3="估价对象容积率",'数据-汇总表'!I6,'数据-汇总表'!I7))</f>
        <v>2.5</v>
      </c>
      <c r="H3" s="198" t="s">
        <v>2821</v>
      </c>
      <c r="I3" s="944">
        <v>2</v>
      </c>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29301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19" t="s">
        <v>2824</v>
      </c>
      <c r="M4" s="1081">
        <f>SUMPRODUCT((区片价!B49:B75=I2)*(区片价!C3:F3=E2)*(区片价!C49:F75))</f>
        <v>19040</v>
      </c>
      <c r="N4" s="1083">
        <f>SUMPRODUCT((因素修正幅度!B49:B75=I2)*(因素修正幅度!C3:F3=E2)*(因素修正幅度!C49:F75))</f>
        <v>7.4999999999999997E-2</v>
      </c>
      <c r="O4" s="1370"/>
      <c r="P4" s="1370"/>
      <c r="Q4" s="1370"/>
      <c r="R4" s="1602">
        <v>3</v>
      </c>
      <c r="S4" s="1602">
        <f>ROUND(IF(G3&gt;1,IF(R4&lt;7,SUMPRODUCT((B93:B98=R4)*(C92:N92=G2)*(C93:N98)),SUMIF(C92:N92,G2,C100:N100)),IF(R4&lt;7,SUMPRODUCT((B102:B107=R4)*(C92:N92=G2)*(C102:N107)),SUMIF(C92:N92,G2,C109:N109))),4)</f>
        <v>1.0788</v>
      </c>
      <c r="T4" s="1602">
        <f t="shared" ca="1" si="0"/>
        <v>23639</v>
      </c>
      <c r="U4" s="1603"/>
      <c r="V4" s="1602">
        <f t="shared" ca="1" si="1"/>
        <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f>ROUND(IF(E2="商业",C6*C7+C16,(IF(E2="住宅",C6*C12+C16,C6+C16))),0)</f>
        <v>19040</v>
      </c>
      <c r="D5" s="1779">
        <f>ROUND(C6+C16,0)</f>
        <v>19040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18967</v>
      </c>
      <c r="U5" s="1603"/>
      <c r="V5" s="1602">
        <f t="shared" ca="1" si="1"/>
        <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19040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16152</v>
      </c>
      <c r="U6" s="1603"/>
      <c r="V6" s="1602">
        <f t="shared" ca="1" si="1"/>
        <v>0</v>
      </c>
      <c r="W6" s="1606"/>
      <c r="X6" s="1606"/>
      <c r="Y6" s="1606"/>
      <c r="Z6" s="1606"/>
      <c r="AA6" s="1606"/>
      <c r="AB6" s="1606"/>
      <c r="AC6" s="2728"/>
      <c r="AD6" s="2729"/>
      <c r="AE6" s="2729"/>
      <c r="AF6" s="2729"/>
      <c r="AG6" s="2729"/>
      <c r="AH6" s="2729"/>
      <c r="AI6" s="2729"/>
      <c r="AJ6" s="2730"/>
    </row>
    <row r="7" spans="1:36" ht="24">
      <c r="A7" s="3271" t="str">
        <f>IF(E2="商业",IF(C8="不临58条商业街","",2),"")</f>
        <v/>
      </c>
      <c r="B7" s="2738" t="s">
        <v>2831</v>
      </c>
      <c r="C7" s="919">
        <f>IF(C8="不临58条商业街",1,ROUND(1+(1.6*E8+1.2*E9+0.8*E10+0.4*E11)*C9,4))</f>
        <v>1</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14204</v>
      </c>
      <c r="U7" s="1603"/>
      <c r="V7" s="1602">
        <f t="shared" ca="1" si="1"/>
        <v>0</v>
      </c>
      <c r="W7" s="2965" t="s">
        <v>2834</v>
      </c>
      <c r="X7" s="1604" t="str">
        <f>G2</f>
        <v>四级</v>
      </c>
      <c r="Y7" s="1604" t="s">
        <v>2835</v>
      </c>
      <c r="Z7" s="1605">
        <f>G3</f>
        <v>2.5</v>
      </c>
      <c r="AA7" s="1606"/>
      <c r="AB7" s="1606"/>
      <c r="AC7" s="1607"/>
      <c r="AD7" s="1608"/>
      <c r="AE7" s="1608"/>
      <c r="AF7" s="1608"/>
      <c r="AG7" s="1608"/>
      <c r="AH7" s="1608"/>
      <c r="AI7" s="1608"/>
      <c r="AJ7" s="1609"/>
    </row>
    <row r="8" spans="1:36" ht="25.5">
      <c r="A8" s="3272"/>
      <c r="B8" s="198" t="s">
        <v>2836</v>
      </c>
      <c r="C8" s="2743" t="s">
        <v>3074</v>
      </c>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4" t="s">
        <v>2839</v>
      </c>
      <c r="X8" s="3265"/>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2"/>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6"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6" t="s">
        <v>2863</v>
      </c>
      <c r="X11" s="1614" t="s">
        <v>2835</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71"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6"/>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57" t="s">
        <v>2870</v>
      </c>
      <c r="C13" s="2758" t="s">
        <v>2871</v>
      </c>
      <c r="D13" s="2962" t="s">
        <v>2872</v>
      </c>
      <c r="E13" s="2962" t="s">
        <v>2873</v>
      </c>
      <c r="F13" s="30" t="s">
        <v>2874</v>
      </c>
      <c r="G13" s="2759" t="s">
        <v>2875</v>
      </c>
      <c r="H13" s="2759" t="s">
        <v>2875</v>
      </c>
      <c r="I13" s="2759" t="s">
        <v>2875</v>
      </c>
      <c r="J13" s="2760" t="s">
        <v>2875</v>
      </c>
      <c r="K13" s="1370"/>
      <c r="L13" s="1370"/>
      <c r="M13" s="1370"/>
      <c r="N13" s="1370"/>
      <c r="O13" s="1370"/>
      <c r="P13" s="1370"/>
      <c r="Q13" s="1370"/>
      <c r="R13" s="1602">
        <v>12</v>
      </c>
      <c r="S13" s="1603"/>
      <c r="T13" s="1602">
        <f t="shared" ca="1" si="0"/>
        <v>0</v>
      </c>
      <c r="U13" s="1603"/>
      <c r="V13" s="1602">
        <f t="shared" ca="1" si="1"/>
        <v>0</v>
      </c>
      <c r="W13" s="3266"/>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3"/>
      <c r="B14" s="2761"/>
      <c r="C14" s="2762"/>
      <c r="D14" s="2763"/>
      <c r="E14" s="2763"/>
      <c r="F14" s="2764"/>
      <c r="G14" s="2765" t="s">
        <v>2876</v>
      </c>
      <c r="H14" s="2766"/>
      <c r="I14" s="2767"/>
      <c r="J14" s="276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4"/>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1" t="s">
        <v>2882</v>
      </c>
      <c r="B16" s="2738" t="s">
        <v>2883</v>
      </c>
      <c r="C16" s="2960">
        <f>ROUND(IF(F17="与级别开发程度一致",0,(G17-E17)/C17),0)</f>
        <v>0</v>
      </c>
      <c r="D16" s="3285" t="s">
        <v>2887</v>
      </c>
      <c r="E16" s="3286"/>
      <c r="F16" s="3285" t="s">
        <v>2884</v>
      </c>
      <c r="G16" s="3286"/>
      <c r="H16" s="2772"/>
      <c r="I16" s="2772"/>
      <c r="J16" s="2929"/>
      <c r="K16" s="2772"/>
      <c r="L16" s="2772"/>
      <c r="M16" s="2772"/>
      <c r="N16" s="2772"/>
      <c r="O16" s="277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5"/>
      <c r="B17" s="2936" t="s">
        <v>2886</v>
      </c>
      <c r="C17" s="2937">
        <f>SUMPRODUCT((修正!A2:A5=E2)*(修正!B1:M1=G2)*(修正!B2:M5))</f>
        <v>2.5</v>
      </c>
      <c r="D17" s="229" t="str">
        <f>IF(OR(G2="八级",G2="九级",G2="十级",G2="十一级",G2="十二级"),"五通一平","七通一平")</f>
        <v>七通一平</v>
      </c>
      <c r="E17" s="2926">
        <f>SUMPRODUCT((修正!B1:M1=G2)*(修正!B15:M15))</f>
        <v>300</v>
      </c>
      <c r="F17" s="2927" t="s">
        <v>3081</v>
      </c>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1</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25" thickBot="1">
      <c r="A19" s="2777" t="s">
        <v>809</v>
      </c>
      <c r="B19" s="2778" t="s">
        <v>2890</v>
      </c>
      <c r="C19" s="924">
        <f>ROUND(IF(H19="按公示增长率计算",SUMPRODUCT((地价!A3:A31=YEAR(G19)&amp;"-"&amp;ROUNDUP(MONTH(G19)/3,0))*(地价!X2:AB2=E2)*(地价!X3:AB31)),IF(H19="地价指数",M20/M19,(1+I19)^O19)),4)</f>
        <v>1.3577999999999999</v>
      </c>
      <c r="D19" s="2782" t="s">
        <v>2891</v>
      </c>
      <c r="E19" s="925">
        <v>41640</v>
      </c>
      <c r="F19" s="2782" t="s">
        <v>2892</v>
      </c>
      <c r="G19" s="926">
        <f>'数据-取费表'!B2</f>
        <v>44019</v>
      </c>
      <c r="H19" s="2783" t="s">
        <v>3080</v>
      </c>
      <c r="I19" s="927" t="str">
        <f>IF(H19="季度增幅（自定义）",SUMIF(N21:N24,E2,O21:O24),"")</f>
        <v/>
      </c>
      <c r="J19" s="2780"/>
      <c r="K19" s="1377"/>
      <c r="L19" s="2784" t="s">
        <v>2893</v>
      </c>
      <c r="M19" s="1734">
        <f>ROUND(SUMIF(地价!B2:F2,E2,地价!B31:F31),0)</f>
        <v>258</v>
      </c>
      <c r="N19" s="2785"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f ca="1">ROUND(POWER(1+G20,J20-I20)*(POWER(1+G20,I20)-1)/(POWER(1+G20,J20)-1),4)</f>
        <v>0.81679999999999997</v>
      </c>
      <c r="D20" s="2791" t="s">
        <v>2896</v>
      </c>
      <c r="E20" s="1760">
        <f ca="1">存贷款利率!D4/100</f>
        <v>4.3499999999999997E-2</v>
      </c>
      <c r="F20" s="2791" t="s">
        <v>2888</v>
      </c>
      <c r="G20" s="934">
        <f ca="1">SUMIF(M26:P26,E2,M28:P28)</f>
        <v>5.3999999999999999E-2</v>
      </c>
      <c r="H20" s="2791" t="s">
        <v>2897</v>
      </c>
      <c r="I20" s="2969">
        <f>SUMIF('数据-取费表'!C6:C15,E2,'数据-取费表'!F6:F15)/COUNTIF('数据-取费表'!C6:C15,E2)</f>
        <v>24.01</v>
      </c>
      <c r="J20" s="936">
        <f>IF(E2="住宅",70,IF(E2="商业",40,50))</f>
        <v>40</v>
      </c>
      <c r="K20" s="1377"/>
      <c r="L20" s="2792" t="s">
        <v>2898</v>
      </c>
      <c r="M20" s="1735">
        <f>ROUND(SUMPRODUCT((地价!A4:A31=YEAR(G19)&amp;"-"&amp;ROUNDUP(MONTH(G19)/3,0))*(地价!B2:F2=E2)*(地价!B4:F31)),0)</f>
        <v>350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3076</v>
      </c>
      <c r="C21" s="2964">
        <f>IF(B21="容积率修正",IF(G3&lt;=10,D22,J22),C23)</f>
        <v>1.3371999999999999</v>
      </c>
      <c r="D21" s="2798"/>
      <c r="E21" s="2798"/>
      <c r="F21" s="2798"/>
      <c r="G21" s="2798"/>
      <c r="H21" s="2798"/>
      <c r="I21" s="2798"/>
      <c r="J21" s="2799"/>
      <c r="K21" s="1377"/>
      <c r="N21" s="2800" t="s">
        <v>2902</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1" customFormat="1" ht="14.25">
      <c r="A22" s="2657" t="s">
        <v>2903</v>
      </c>
      <c r="B22" s="2801" t="s">
        <v>2904</v>
      </c>
      <c r="C22" s="2963" t="s">
        <v>2905</v>
      </c>
      <c r="D22" s="2963">
        <f>IF(E22=G22,F22,IF(G3&lt;=10,ROUND(F22+(H22-F22)*(G3-E22)/(G22-E22),4),"——"))</f>
        <v>1</v>
      </c>
      <c r="E22" s="916">
        <f>ROUNDDOWN(G3,1)</f>
        <v>2.5</v>
      </c>
      <c r="F22" s="29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29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963" t="s">
        <v>155</v>
      </c>
      <c r="J22" s="938" t="str">
        <f>IF(G3&gt;10,D113,"——")</f>
        <v>——</v>
      </c>
      <c r="K22" s="1377"/>
      <c r="N22" s="2800" t="s">
        <v>2906</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7" t="s">
        <v>2907</v>
      </c>
      <c r="B23" s="2802" t="s">
        <v>2908</v>
      </c>
      <c r="C23" s="1013">
        <f>ROUND(IF(G3&gt;1,IF(I3&lt;7,SUMPRODUCT((B93:B98=I3)*(C92:N92=G2)*(C93:N98)),SUMIF(C92:N92,G2,C100:N100)),IF(I3&lt;7,SUMPRODUCT((B102:B107=I3)*(C92:N92=G2)*(C102:N107)),SUMIF(C92:N92,G2,C109:N109))),4)</f>
        <v>1.3371999999999999</v>
      </c>
      <c r="D23" s="2766"/>
      <c r="E23" s="2766"/>
      <c r="F23" s="2803"/>
      <c r="G23" s="2804"/>
      <c r="H23" s="2805"/>
      <c r="I23" s="2806"/>
      <c r="J23" s="2807"/>
      <c r="K23" s="1370"/>
      <c r="N23" s="2800" t="s">
        <v>2909</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2910</v>
      </c>
      <c r="C24" s="924">
        <f>SUMIF(A45:A88,E2,B45:B88)</f>
        <v>1.0377000000000001</v>
      </c>
      <c r="D24" s="2779"/>
      <c r="E24" s="2808"/>
      <c r="F24" s="2808"/>
      <c r="G24" s="2808"/>
      <c r="H24" s="2808"/>
      <c r="I24" s="2808"/>
      <c r="J24" s="2809"/>
      <c r="K24" s="1377"/>
      <c r="N24" s="2810" t="s">
        <v>2911</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2912</v>
      </c>
      <c r="C25" s="930"/>
      <c r="D25" s="2741"/>
      <c r="E25" s="2741"/>
      <c r="F25" s="2812"/>
      <c r="G25" s="2741"/>
      <c r="H25" s="2741"/>
      <c r="I25" s="2741"/>
      <c r="J25" s="2742"/>
      <c r="K25" s="1370"/>
      <c r="N25" s="2813" t="s">
        <v>2913</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4"/>
      <c r="B26" s="2801" t="s">
        <v>2914</v>
      </c>
      <c r="C26" s="206">
        <f ca="1">E29+SUM(E33:E39)</f>
        <v>8497</v>
      </c>
      <c r="D26" s="2815"/>
      <c r="E26" s="2766"/>
      <c r="F26" s="2816"/>
      <c r="G26" s="2766"/>
      <c r="H26" s="2766"/>
      <c r="I26" s="2766"/>
      <c r="J26" s="2817"/>
      <c r="K26" s="1370"/>
      <c r="L26" s="2770" t="s">
        <v>2814</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2915</v>
      </c>
      <c r="C27" s="931">
        <f ca="1">E30+SUM(I33:I39)</f>
        <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2916</v>
      </c>
      <c r="C28" s="2825" t="s">
        <v>2917</v>
      </c>
      <c r="D28" s="2825" t="s">
        <v>2918</v>
      </c>
      <c r="E28" s="2826" t="s">
        <v>2919</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f ca="1">ROUND(C5*C18*C19*C20*C21*C24,0)</f>
        <v>29301</v>
      </c>
      <c r="D29" s="2830">
        <f>'数据-基础表'!I14</f>
        <v>2900</v>
      </c>
      <c r="E29" s="2968">
        <f ca="1">ROUND(C29*D29/10000,0)</f>
        <v>8497</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2922</v>
      </c>
      <c r="C30" s="229">
        <f ca="1">ROUND(IF(E2="工业",C29*M39,C29*M38),0)</f>
        <v>7325</v>
      </c>
      <c r="D30" s="2836"/>
      <c r="E30" s="2968">
        <f ca="1">ROUND(C30*D30/10000,0)</f>
        <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82" t="s">
        <v>2928</v>
      </c>
      <c r="B33" s="2846" t="s">
        <v>2929</v>
      </c>
      <c r="C33" s="206">
        <f ca="1">ROUND(D5*C19*C20*C24*F33,0)</f>
        <v>15339</v>
      </c>
      <c r="D33" s="2830"/>
      <c r="E33" s="200">
        <f ca="1">ROUND(C33*D33/10000,0)</f>
        <v>0</v>
      </c>
      <c r="F33" s="200">
        <f>SUMIF(修正!A45:A56,G2,修正!B45:B56)</f>
        <v>0.7</v>
      </c>
      <c r="G33" s="200">
        <f t="shared" ref="G33" ca="1" si="6">ROUND(IF(E2="工业",C33*$M$39,C33*$M$38),0)</f>
        <v>3835</v>
      </c>
      <c r="H33" s="200">
        <f>D33</f>
        <v>0</v>
      </c>
      <c r="I33" s="200">
        <f ca="1">ROUND(G33*H33/10000,0)</f>
        <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58" t="s">
        <v>2930</v>
      </c>
      <c r="C34" s="206">
        <f ca="1">ROUND(D5*C19*C20*C24*F34,0)</f>
        <v>8765</v>
      </c>
      <c r="D34" s="2830"/>
      <c r="E34" s="200">
        <f t="shared" ref="E34:E39" ca="1" si="7">ROUND(C34*D34/10000,0)</f>
        <v>0</v>
      </c>
      <c r="F34" s="200">
        <f>SUMIF(修正!A45:A56,G2,修正!C45:C56)</f>
        <v>0.4</v>
      </c>
      <c r="G34" s="200">
        <f ca="1">ROUND(IF(E2="工业",C34*$M$39,C34*$M$38),0)</f>
        <v>2191</v>
      </c>
      <c r="H34" s="200">
        <f t="shared" ref="H34:H39" si="8">D34</f>
        <v>0</v>
      </c>
      <c r="I34" s="200">
        <f t="shared" ref="I34:I39" ca="1" si="9">ROUND(G34*H34/10000,0)</f>
        <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58" t="s">
        <v>2931</v>
      </c>
      <c r="C35" s="206">
        <f ca="1">ROUND(D5*C19*C20*C24*F35,0)</f>
        <v>6135</v>
      </c>
      <c r="D35" s="2830"/>
      <c r="E35" s="200">
        <f t="shared" ca="1" si="7"/>
        <v>0</v>
      </c>
      <c r="F35" s="200">
        <f>SUMIF(修正!A45:A56,G2,修正!D45:D56)</f>
        <v>0.28000000000000003</v>
      </c>
      <c r="G35" s="200">
        <f ca="1">ROUND(IF(E2="工业",C35*$M$39,C35*$M$38),0)</f>
        <v>1534</v>
      </c>
      <c r="H35" s="200">
        <f t="shared" si="8"/>
        <v>0</v>
      </c>
      <c r="I35" s="200">
        <f t="shared" ca="1" si="9"/>
        <v>0</v>
      </c>
      <c r="J35" s="2847"/>
      <c r="K35" s="1370"/>
      <c r="L35" s="1370"/>
      <c r="M35" s="1370"/>
      <c r="N35" s="1370"/>
      <c r="O35" s="1370"/>
      <c r="P35" s="1370"/>
      <c r="Q35" s="1370"/>
      <c r="R35" s="1370"/>
      <c r="S35" s="1370"/>
      <c r="T35" s="1370"/>
      <c r="U35" s="1370"/>
      <c r="V35" s="1370"/>
      <c r="W35" s="1370"/>
      <c r="X35" s="1370"/>
      <c r="Y35" s="1370"/>
      <c r="Z35" s="1371"/>
    </row>
    <row r="36" spans="1:37" ht="13.5" thickBot="1">
      <c r="A36" s="3284"/>
      <c r="B36" s="2758" t="s">
        <v>2932</v>
      </c>
      <c r="C36" s="206">
        <f ca="1">ROUND(D5*C19*C20*C24*F36,0)</f>
        <v>5478</v>
      </c>
      <c r="D36" s="2830"/>
      <c r="E36" s="200">
        <f t="shared" ca="1" si="7"/>
        <v>0</v>
      </c>
      <c r="F36" s="200">
        <f>SUMIF(修正!A45:A56,G2,修正!E45:E56)</f>
        <v>0.25</v>
      </c>
      <c r="G36" s="200">
        <f ca="1">ROUND(IF(E2="工业",C36*$M$39,C36*$M$38),0)</f>
        <v>1370</v>
      </c>
      <c r="H36" s="200">
        <f t="shared" si="8"/>
        <v>0</v>
      </c>
      <c r="I36" s="200">
        <f t="shared" ca="1" si="9"/>
        <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f ca="1">ROUND(D5*C19*C20*C24*F37,0)</f>
        <v>5478</v>
      </c>
      <c r="D37" s="2830"/>
      <c r="E37" s="200">
        <f t="shared" ca="1" si="7"/>
        <v>0</v>
      </c>
      <c r="F37" s="206">
        <f>SUMIF(修正!A45:A56,G2,修正!F45:F56)</f>
        <v>0.25</v>
      </c>
      <c r="G37" s="200">
        <f ca="1">ROUND(IF(E2="工业",C37*$M$39,C37*$M$38),0)</f>
        <v>1370</v>
      </c>
      <c r="H37" s="200">
        <f t="shared" si="8"/>
        <v>0</v>
      </c>
      <c r="I37" s="200">
        <f t="shared" ca="1" si="9"/>
        <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f ca="1">ROUND(D5*C19*C41*C24*F38,0)</f>
        <v>0</v>
      </c>
      <c r="D38" s="2830"/>
      <c r="E38" s="200">
        <f t="shared" ca="1" si="7"/>
        <v>0</v>
      </c>
      <c r="F38" s="206">
        <f>SUMIF(修正!A45:A56,G2,修正!G45:G56)</f>
        <v>0.25</v>
      </c>
      <c r="G38" s="200">
        <f ca="1">ROUND(IF(E2="工业",C38*$M$39,C38*$M$38),0)</f>
        <v>0</v>
      </c>
      <c r="H38" s="200">
        <f t="shared" si="8"/>
        <v>0</v>
      </c>
      <c r="I38" s="200">
        <f t="shared" ca="1" si="9"/>
        <v>0</v>
      </c>
      <c r="J38" s="2847"/>
      <c r="K38" s="1370"/>
      <c r="L38" s="1879" t="s">
        <v>2936</v>
      </c>
      <c r="M38" s="2851">
        <v>0.25</v>
      </c>
      <c r="N38" s="1370"/>
      <c r="O38" s="1370"/>
      <c r="P38" s="1370"/>
      <c r="Q38" s="1370"/>
      <c r="R38" s="1370"/>
      <c r="S38" s="1370"/>
      <c r="T38" s="1370"/>
      <c r="U38" s="1370"/>
      <c r="V38" s="1370"/>
      <c r="W38" s="1370"/>
      <c r="X38" s="1370"/>
      <c r="Y38" s="1370"/>
      <c r="Z38" s="1371"/>
    </row>
    <row r="39" spans="1:37" ht="13.5" thickBot="1">
      <c r="A39" s="2834"/>
      <c r="B39" s="2852" t="s">
        <v>2937</v>
      </c>
      <c r="C39" s="229">
        <f ca="1">ROUND(D5*C19*C41*C24*F39,0)</f>
        <v>0</v>
      </c>
      <c r="D39" s="2836"/>
      <c r="E39" s="229">
        <f t="shared" ca="1" si="7"/>
        <v>0</v>
      </c>
      <c r="F39" s="932">
        <f>SUMIF(修正!A45:A56,G2,修正!H45:H56)</f>
        <v>0.2</v>
      </c>
      <c r="G39" s="229">
        <f ca="1">ROUND(IF(E2="工业",C39*$M$39,C39*$M$38),0)</f>
        <v>0</v>
      </c>
      <c r="H39" s="229">
        <f t="shared" si="8"/>
        <v>0</v>
      </c>
      <c r="I39" s="229">
        <f t="shared" ca="1" si="9"/>
        <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f ca="1">ROUND(POWER(1+E41,H41-G41)*(POWER(1+E41,G41)-1)/(POWER(1+E41,H41)-1),4)</f>
        <v>0</v>
      </c>
      <c r="D41" s="200" t="s">
        <v>2888</v>
      </c>
      <c r="E41" s="292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2939</v>
      </c>
      <c r="B46" s="2860">
        <f>1+E48</f>
        <v>1.0377000000000001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2940</v>
      </c>
      <c r="B47" s="2961" t="s">
        <v>2941</v>
      </c>
      <c r="C47" s="2961" t="s">
        <v>2942</v>
      </c>
      <c r="D47" s="2961" t="s">
        <v>2943</v>
      </c>
      <c r="E47" s="819" t="s">
        <v>2944</v>
      </c>
      <c r="F47" s="2864" t="s">
        <v>2945</v>
      </c>
      <c r="G47" s="2961" t="s">
        <v>754</v>
      </c>
      <c r="H47" s="2865" t="s">
        <v>2946</v>
      </c>
      <c r="I47" s="2961"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2948</v>
      </c>
      <c r="B48" s="2866" t="str">
        <f>估价对象房地状况!C4</f>
        <v>估价对象位于XX商圈，周边商业氛围成熟，人流量大，商业繁华度好</v>
      </c>
      <c r="C48" s="2763" t="s">
        <v>3077</v>
      </c>
      <c r="D48" s="1286">
        <f t="shared" ref="D48:D56" si="10">SUMIF($J$47:$N$47,C48,J48:N48)</f>
        <v>1.23E-2</v>
      </c>
      <c r="E48" s="821">
        <f>ROUND(SUM(D48:D56),4)</f>
        <v>3.7699999999999997E-2</v>
      </c>
      <c r="F48" s="2494">
        <f>IF(E2="商业",SUMIF(L1:L12,G2,N1:N12),"——")</f>
        <v>7.4999999999999997E-2</v>
      </c>
      <c r="G48" s="1284">
        <v>1.23E-2</v>
      </c>
      <c r="H48" s="1288">
        <f t="shared" ref="H48:H56" si="11">IFERROR(ROUNDDOWN($F$48*I48/2,4),"——")</f>
        <v>1.23E-2</v>
      </c>
      <c r="I48" s="820">
        <v>0.33</v>
      </c>
      <c r="J48" s="1285">
        <f t="shared" ref="J48:J56" si="12">K48+$G48</f>
        <v>2.46E-2</v>
      </c>
      <c r="K48" s="1285">
        <f t="shared" ref="K48:K56" si="13">$L48+$G48</f>
        <v>1.23E-2</v>
      </c>
      <c r="L48" s="1285">
        <v>0</v>
      </c>
      <c r="M48" s="1285">
        <f t="shared" ref="M48:N56" si="14">L48-$G48</f>
        <v>-1.23E-2</v>
      </c>
      <c r="N48" s="1285">
        <f t="shared" si="14"/>
        <v>-2.46E-2</v>
      </c>
      <c r="AA48" s="1371"/>
      <c r="AB48" s="1371"/>
      <c r="AC48" s="1371"/>
      <c r="AD48" s="1371"/>
      <c r="AE48" s="1371"/>
      <c r="AF48" s="1371"/>
      <c r="AG48" s="1371"/>
      <c r="AH48" s="1371"/>
      <c r="AI48" s="1371"/>
      <c r="AJ48" s="1371"/>
      <c r="AK48" s="1371"/>
    </row>
    <row r="49" spans="1:37" s="1370" customFormat="1" ht="51">
      <c r="A49" s="2863" t="s">
        <v>2949</v>
      </c>
      <c r="B49" s="2867" t="str">
        <f>估价对象房地状况!C18</f>
        <v>估价对象周边道路状况、公共交通通达情况、停车便捷程度，综合评价交通便捷度较好</v>
      </c>
      <c r="C49" s="2763" t="s">
        <v>3077</v>
      </c>
      <c r="D49" s="1286">
        <f t="shared" si="10"/>
        <v>9.2999999999999992E-3</v>
      </c>
      <c r="E49" s="822"/>
      <c r="F49" s="2494"/>
      <c r="G49" s="1284">
        <v>9.2999999999999992E-3</v>
      </c>
      <c r="H49" s="1288">
        <f t="shared" si="11"/>
        <v>9.2999999999999992E-3</v>
      </c>
      <c r="I49" s="820">
        <v>0.25</v>
      </c>
      <c r="J49" s="1285">
        <f t="shared" si="12"/>
        <v>1.8599999999999998E-2</v>
      </c>
      <c r="K49" s="1285">
        <f t="shared" si="13"/>
        <v>9.2999999999999992E-3</v>
      </c>
      <c r="L49" s="1285">
        <v>0</v>
      </c>
      <c r="M49" s="1285">
        <f t="shared" si="14"/>
        <v>-9.2999999999999992E-3</v>
      </c>
      <c r="N49" s="1285">
        <f t="shared" si="14"/>
        <v>-1.8599999999999998E-2</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t="s">
        <v>3077</v>
      </c>
      <c r="D50" s="1286">
        <f t="shared" si="10"/>
        <v>1.8E-3</v>
      </c>
      <c r="E50" s="822"/>
      <c r="F50" s="2494"/>
      <c r="G50" s="1284">
        <v>1.8E-3</v>
      </c>
      <c r="H50" s="1288">
        <f t="shared" si="11"/>
        <v>1.8E-3</v>
      </c>
      <c r="I50" s="820">
        <v>0.05</v>
      </c>
      <c r="J50" s="1285">
        <f t="shared" si="12"/>
        <v>3.5999999999999999E-3</v>
      </c>
      <c r="K50" s="1285">
        <f t="shared" si="13"/>
        <v>1.8E-3</v>
      </c>
      <c r="L50" s="1285">
        <v>0</v>
      </c>
      <c r="M50" s="1285">
        <f t="shared" si="14"/>
        <v>-1.8E-3</v>
      </c>
      <c r="N50" s="1285">
        <f t="shared" si="14"/>
        <v>-3.5999999999999999E-3</v>
      </c>
      <c r="AA50" s="1371"/>
      <c r="AB50" s="1371"/>
      <c r="AC50" s="1371"/>
      <c r="AD50" s="1371"/>
      <c r="AE50" s="1371"/>
      <c r="AF50" s="1371"/>
      <c r="AG50" s="1371"/>
      <c r="AH50" s="1371"/>
      <c r="AI50" s="1371"/>
      <c r="AJ50" s="1371"/>
      <c r="AK50" s="1371"/>
    </row>
    <row r="51" spans="1:37" s="1370" customFormat="1" ht="36.75">
      <c r="A51" s="2863" t="s">
        <v>2951</v>
      </c>
      <c r="B51" s="2868" t="s">
        <v>2952</v>
      </c>
      <c r="C51" s="2763" t="s">
        <v>3077</v>
      </c>
      <c r="D51" s="1286">
        <f t="shared" si="10"/>
        <v>1.8E-3</v>
      </c>
      <c r="E51" s="822"/>
      <c r="F51" s="2494"/>
      <c r="G51" s="1284">
        <v>1.8E-3</v>
      </c>
      <c r="H51" s="1288">
        <f t="shared" si="11"/>
        <v>1.8E-3</v>
      </c>
      <c r="I51" s="820">
        <v>0.05</v>
      </c>
      <c r="J51" s="1285">
        <f t="shared" si="12"/>
        <v>3.5999999999999999E-3</v>
      </c>
      <c r="K51" s="1285">
        <f t="shared" si="13"/>
        <v>1.8E-3</v>
      </c>
      <c r="L51" s="1285">
        <v>0</v>
      </c>
      <c r="M51" s="1285">
        <f t="shared" si="14"/>
        <v>-1.8E-3</v>
      </c>
      <c r="N51" s="1285">
        <f t="shared" si="14"/>
        <v>-3.5999999999999999E-3</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t="s">
        <v>3078</v>
      </c>
      <c r="D52" s="1286">
        <f t="shared" si="10"/>
        <v>0</v>
      </c>
      <c r="E52" s="822"/>
      <c r="F52" s="2494"/>
      <c r="G52" s="1284">
        <v>3.0000000000000001E-3</v>
      </c>
      <c r="H52" s="1288">
        <f t="shared" si="11"/>
        <v>3.0000000000000001E-3</v>
      </c>
      <c r="I52" s="820">
        <v>0.08</v>
      </c>
      <c r="J52" s="1285">
        <f t="shared" si="12"/>
        <v>6.0000000000000001E-3</v>
      </c>
      <c r="K52" s="1285">
        <f t="shared" si="13"/>
        <v>3.0000000000000001E-3</v>
      </c>
      <c r="L52" s="1285">
        <v>0</v>
      </c>
      <c r="M52" s="1285">
        <f t="shared" si="14"/>
        <v>-3.0000000000000001E-3</v>
      </c>
      <c r="N52" s="1285">
        <f t="shared" si="14"/>
        <v>-6.0000000000000001E-3</v>
      </c>
      <c r="AA52" s="1371"/>
      <c r="AB52" s="1371"/>
      <c r="AC52" s="1371"/>
      <c r="AD52" s="1371"/>
      <c r="AE52" s="1371"/>
      <c r="AF52" s="1371"/>
      <c r="AG52" s="1371"/>
      <c r="AH52" s="1371"/>
      <c r="AI52" s="1371"/>
      <c r="AJ52" s="1371"/>
      <c r="AK52" s="1371"/>
    </row>
    <row r="53" spans="1:37" s="1370" customFormat="1" ht="24">
      <c r="A53" s="2863" t="s">
        <v>2954</v>
      </c>
      <c r="B53" s="2869" t="s">
        <v>2955</v>
      </c>
      <c r="C53" s="2763" t="s">
        <v>3077</v>
      </c>
      <c r="D53" s="1286">
        <f t="shared" si="10"/>
        <v>1.1000000000000001E-3</v>
      </c>
      <c r="E53" s="822"/>
      <c r="F53" s="2494"/>
      <c r="G53" s="1284">
        <v>1.1000000000000001E-3</v>
      </c>
      <c r="H53" s="1288">
        <f t="shared" si="11"/>
        <v>1.1000000000000001E-3</v>
      </c>
      <c r="I53" s="820">
        <v>0.03</v>
      </c>
      <c r="J53" s="1285">
        <f t="shared" si="12"/>
        <v>2.2000000000000001E-3</v>
      </c>
      <c r="K53" s="1285">
        <f t="shared" si="13"/>
        <v>1.1000000000000001E-3</v>
      </c>
      <c r="L53" s="1285">
        <v>0</v>
      </c>
      <c r="M53" s="1285">
        <f t="shared" si="14"/>
        <v>-1.1000000000000001E-3</v>
      </c>
      <c r="N53" s="1285">
        <f t="shared" si="14"/>
        <v>-2.2000000000000001E-3</v>
      </c>
      <c r="AA53" s="1371"/>
      <c r="AB53" s="1371"/>
      <c r="AC53" s="1371"/>
      <c r="AD53" s="1371"/>
      <c r="AE53" s="1371"/>
      <c r="AF53" s="1371"/>
      <c r="AG53" s="1371"/>
      <c r="AH53" s="1371"/>
      <c r="AI53" s="1371"/>
      <c r="AJ53" s="1371"/>
      <c r="AK53" s="1371"/>
    </row>
    <row r="54" spans="1:37" s="1370" customFormat="1" ht="25.5">
      <c r="A54" s="2870" t="s">
        <v>2956</v>
      </c>
      <c r="B54" s="1725" t="str">
        <f>估价对象房地状况!C21</f>
        <v>估价对象所在区域公共配套设施齐备情况</v>
      </c>
      <c r="C54" s="2763" t="s">
        <v>3077</v>
      </c>
      <c r="D54" s="1286">
        <f t="shared" si="10"/>
        <v>1.8E-3</v>
      </c>
      <c r="E54" s="822"/>
      <c r="F54" s="2494"/>
      <c r="G54" s="1284">
        <v>1.8E-3</v>
      </c>
      <c r="H54" s="1288">
        <f t="shared" si="11"/>
        <v>1.8E-3</v>
      </c>
      <c r="I54" s="820">
        <v>0.05</v>
      </c>
      <c r="J54" s="1285">
        <f t="shared" si="12"/>
        <v>3.5999999999999999E-3</v>
      </c>
      <c r="K54" s="1285">
        <f t="shared" si="13"/>
        <v>1.8E-3</v>
      </c>
      <c r="L54" s="1285">
        <v>0</v>
      </c>
      <c r="M54" s="1285">
        <f t="shared" si="14"/>
        <v>-1.8E-3</v>
      </c>
      <c r="N54" s="1285">
        <f t="shared" si="14"/>
        <v>-3.5999999999999999E-3</v>
      </c>
      <c r="AA54" s="1371"/>
      <c r="AB54" s="1371"/>
      <c r="AC54" s="1371"/>
      <c r="AD54" s="1371"/>
      <c r="AE54" s="1371"/>
      <c r="AF54" s="1371"/>
      <c r="AG54" s="1371"/>
      <c r="AH54" s="1371"/>
      <c r="AI54" s="1371"/>
      <c r="AJ54" s="1371"/>
      <c r="AK54" s="1371"/>
    </row>
    <row r="55" spans="1:37" s="1370" customFormat="1" ht="25.5">
      <c r="A55" s="2870" t="s">
        <v>2957</v>
      </c>
      <c r="B55" s="2867" t="str">
        <f>估价对象房地状况!C22</f>
        <v>估价对象所在区域基础设施水平</v>
      </c>
      <c r="C55" s="2763" t="s">
        <v>3079</v>
      </c>
      <c r="D55" s="1286">
        <f t="shared" si="10"/>
        <v>7.4000000000000003E-3</v>
      </c>
      <c r="E55" s="822"/>
      <c r="F55" s="2494"/>
      <c r="G55" s="1284">
        <v>3.7000000000000002E-3</v>
      </c>
      <c r="H55" s="1288">
        <f t="shared" si="11"/>
        <v>3.7000000000000002E-3</v>
      </c>
      <c r="I55" s="820">
        <v>0.1</v>
      </c>
      <c r="J55" s="1285">
        <f t="shared" si="12"/>
        <v>7.4000000000000003E-3</v>
      </c>
      <c r="K55" s="1285">
        <f t="shared" si="13"/>
        <v>3.7000000000000002E-3</v>
      </c>
      <c r="L55" s="1285">
        <v>0</v>
      </c>
      <c r="M55" s="1285">
        <f t="shared" si="14"/>
        <v>-3.7000000000000002E-3</v>
      </c>
      <c r="N55" s="1285">
        <f t="shared" si="14"/>
        <v>-7.4000000000000003E-3</v>
      </c>
      <c r="AA55" s="1371"/>
      <c r="AB55" s="1371"/>
      <c r="AC55" s="1371"/>
      <c r="AD55" s="1371"/>
      <c r="AE55" s="1371"/>
      <c r="AF55" s="1371"/>
      <c r="AG55" s="1371"/>
      <c r="AH55" s="1371"/>
      <c r="AI55" s="1371"/>
      <c r="AJ55" s="1371"/>
      <c r="AK55" s="1371"/>
    </row>
    <row r="56" spans="1:37" s="1370" customFormat="1" ht="39" thickBot="1">
      <c r="A56" s="2871" t="s">
        <v>2958</v>
      </c>
      <c r="B56" s="2872" t="str">
        <f>估价对象房地状况!C20</f>
        <v>区域自然环境：；人文环境；综合评价环境状况一般</v>
      </c>
      <c r="C56" s="2763" t="s">
        <v>3077</v>
      </c>
      <c r="D56" s="1286">
        <f t="shared" si="10"/>
        <v>2.2000000000000001E-3</v>
      </c>
      <c r="E56" s="825"/>
      <c r="F56" s="2494"/>
      <c r="G56" s="1284">
        <v>2.2000000000000001E-3</v>
      </c>
      <c r="H56" s="1288">
        <f t="shared" si="11"/>
        <v>2.2000000000000001E-3</v>
      </c>
      <c r="I56" s="824">
        <v>0.06</v>
      </c>
      <c r="J56" s="1285">
        <f t="shared" si="12"/>
        <v>4.4000000000000003E-3</v>
      </c>
      <c r="K56" s="1285">
        <f t="shared" si="13"/>
        <v>2.2000000000000001E-3</v>
      </c>
      <c r="L56" s="1285">
        <v>0</v>
      </c>
      <c r="M56" s="1285">
        <f t="shared" si="14"/>
        <v>-2.2000000000000001E-3</v>
      </c>
      <c r="N56" s="1285">
        <f t="shared" si="14"/>
        <v>-4.4000000000000003E-3</v>
      </c>
      <c r="AA56" s="1371"/>
      <c r="AB56" s="1371"/>
      <c r="AC56" s="1371"/>
      <c r="AD56" s="1371"/>
      <c r="AE56" s="1371"/>
      <c r="AF56" s="1371"/>
      <c r="AG56" s="1371"/>
      <c r="AH56" s="1371"/>
      <c r="AI56" s="1371"/>
      <c r="AJ56" s="1371"/>
      <c r="AK56" s="1371"/>
    </row>
    <row r="57" spans="1:37" s="1370" customFormat="1" ht="15">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2940</v>
      </c>
      <c r="B58" s="2961"/>
      <c r="C58" s="2961" t="s">
        <v>2942</v>
      </c>
      <c r="D58" s="2961" t="s">
        <v>2943</v>
      </c>
      <c r="E58" s="819" t="s">
        <v>2944</v>
      </c>
      <c r="F58" s="2864" t="s">
        <v>2960</v>
      </c>
      <c r="G58" s="2961" t="s">
        <v>754</v>
      </c>
      <c r="H58" s="2865" t="s">
        <v>2946</v>
      </c>
      <c r="I58" s="2961"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2940</v>
      </c>
      <c r="B69" s="2961"/>
      <c r="C69" s="2961" t="s">
        <v>2942</v>
      </c>
      <c r="D69" s="2961" t="s">
        <v>2943</v>
      </c>
      <c r="E69" s="819" t="s">
        <v>2944</v>
      </c>
      <c r="F69" s="2864" t="s">
        <v>2960</v>
      </c>
      <c r="G69" s="2961" t="s">
        <v>754</v>
      </c>
      <c r="H69" s="2865" t="s">
        <v>2946</v>
      </c>
      <c r="I69" s="2961"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2966</v>
      </c>
      <c r="B79" s="2860">
        <f>1+E81</f>
        <v>1</v>
      </c>
      <c r="C79" s="814"/>
      <c r="D79" s="814"/>
      <c r="E79" s="815"/>
      <c r="F79" s="2862"/>
      <c r="G79" s="6"/>
      <c r="H79" s="6"/>
      <c r="I79" s="6"/>
      <c r="J79" s="7"/>
      <c r="K79" s="7"/>
      <c r="L79" s="7"/>
      <c r="M79" s="7"/>
      <c r="N79" s="7"/>
      <c r="Z79" s="2713"/>
      <c r="AA79" s="2781"/>
      <c r="AG79" s="1372"/>
      <c r="AK79" s="2781"/>
    </row>
    <row r="80" spans="1:37" ht="24.75">
      <c r="A80" s="2863" t="s">
        <v>2940</v>
      </c>
      <c r="B80" s="2961"/>
      <c r="C80" s="2961" t="s">
        <v>2942</v>
      </c>
      <c r="D80" s="2961" t="s">
        <v>2943</v>
      </c>
      <c r="E80" s="819" t="s">
        <v>2944</v>
      </c>
      <c r="F80" s="2864" t="s">
        <v>2960</v>
      </c>
      <c r="G80" s="2961" t="s">
        <v>754</v>
      </c>
      <c r="H80" s="2865" t="s">
        <v>2946</v>
      </c>
      <c r="I80" s="2961" t="s">
        <v>2947</v>
      </c>
      <c r="J80" s="603" t="s">
        <v>2597</v>
      </c>
      <c r="K80" s="603" t="s">
        <v>2598</v>
      </c>
      <c r="L80" s="603" t="s">
        <v>2599</v>
      </c>
      <c r="M80" s="603" t="s">
        <v>2600</v>
      </c>
      <c r="N80" s="603" t="s">
        <v>2601</v>
      </c>
      <c r="Z80" s="2713"/>
      <c r="AA80" s="2781"/>
      <c r="AG80" s="1372"/>
      <c r="AK80" s="2781"/>
    </row>
    <row r="81" spans="1:37" ht="38.25">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76" t="s">
        <v>2970</v>
      </c>
      <c r="B90" s="3276"/>
      <c r="C90" s="3276"/>
      <c r="D90" s="3276"/>
      <c r="E90" s="3276"/>
      <c r="F90" s="3276"/>
      <c r="G90" s="3276"/>
      <c r="H90" s="3276"/>
      <c r="I90" s="3276"/>
      <c r="J90" s="3276"/>
      <c r="K90" s="2966"/>
      <c r="L90" s="2966"/>
      <c r="M90" s="2966"/>
      <c r="N90" s="2966"/>
    </row>
    <row r="91" spans="1:37">
      <c r="A91" s="3278" t="s">
        <v>2971</v>
      </c>
      <c r="B91" s="3278" t="s">
        <v>2972</v>
      </c>
      <c r="C91" s="2831" t="s">
        <v>2973</v>
      </c>
      <c r="D91" s="2832"/>
      <c r="E91" s="2832"/>
      <c r="F91" s="2832"/>
      <c r="G91" s="2832"/>
      <c r="H91" s="2832"/>
      <c r="I91" s="2832"/>
      <c r="J91" s="2878"/>
      <c r="K91" s="2879"/>
      <c r="L91" s="2879"/>
      <c r="M91" s="2879"/>
      <c r="N91" s="2879"/>
    </row>
    <row r="92" spans="1:37">
      <c r="A92" s="3278"/>
      <c r="B92" s="3278"/>
      <c r="C92" s="2968" t="s">
        <v>2840</v>
      </c>
      <c r="D92" s="2968" t="s">
        <v>2841</v>
      </c>
      <c r="E92" s="2968" t="s">
        <v>2842</v>
      </c>
      <c r="F92" s="2968" t="s">
        <v>2843</v>
      </c>
      <c r="G92" s="2968" t="s">
        <v>2844</v>
      </c>
      <c r="H92" s="2968" t="s">
        <v>2845</v>
      </c>
      <c r="I92" s="2968" t="s">
        <v>2846</v>
      </c>
      <c r="J92" s="2968" t="s">
        <v>2847</v>
      </c>
      <c r="K92" s="2968" t="s">
        <v>2848</v>
      </c>
      <c r="L92" s="2968" t="s">
        <v>2849</v>
      </c>
      <c r="M92" s="2968" t="s">
        <v>2850</v>
      </c>
      <c r="N92" s="2968" t="s">
        <v>2851</v>
      </c>
    </row>
    <row r="93" spans="1:37">
      <c r="A93" s="3279"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0"/>
      <c r="B99" s="2880" t="s">
        <v>2856</v>
      </c>
      <c r="C99" s="2882">
        <f>$I$3</f>
        <v>2</v>
      </c>
      <c r="D99" s="2882">
        <f t="shared" ref="D99:M99" si="30">$I$3</f>
        <v>2</v>
      </c>
      <c r="E99" s="2882">
        <f t="shared" si="30"/>
        <v>2</v>
      </c>
      <c r="F99" s="2882">
        <f t="shared" si="30"/>
        <v>2</v>
      </c>
      <c r="G99" s="2882">
        <f t="shared" si="30"/>
        <v>2</v>
      </c>
      <c r="H99" s="2882">
        <f t="shared" si="30"/>
        <v>2</v>
      </c>
      <c r="I99" s="2882">
        <f t="shared" si="30"/>
        <v>2</v>
      </c>
      <c r="J99" s="2882">
        <f t="shared" si="30"/>
        <v>2</v>
      </c>
      <c r="K99" s="2882">
        <f t="shared" si="30"/>
        <v>2</v>
      </c>
      <c r="L99" s="2882">
        <f t="shared" si="30"/>
        <v>2</v>
      </c>
      <c r="M99" s="2882">
        <f t="shared" si="30"/>
        <v>2</v>
      </c>
      <c r="N99" s="2882">
        <f>$I$3</f>
        <v>2</v>
      </c>
    </row>
    <row r="100" spans="1:14">
      <c r="A100" s="3281"/>
      <c r="B100" s="2880">
        <v>7</v>
      </c>
      <c r="C100" s="2883">
        <f>(-0.163*(C99^2)-0.59*C99+7617)*(10^(-4))</f>
        <v>0.76151679999999999</v>
      </c>
      <c r="D100" s="2883">
        <f>(-0.163*(D99^2)-0.59*D99+7617)*(10^(-4))</f>
        <v>0.76151679999999999</v>
      </c>
      <c r="E100" s="2883">
        <f>(-0.161*(E99^2)-7.509*E99+6533)*(10^(-4))</f>
        <v>0.65173380000000003</v>
      </c>
      <c r="F100" s="2883">
        <f>(-0.161*(F99^2)-7.509*F99+6533)*(10^(-4))</f>
        <v>0.65173380000000003</v>
      </c>
      <c r="G100" s="2883">
        <f>(-0.161*(G99^2)-7.509*G99+6533)*(10^(-4))</f>
        <v>0.65173380000000003</v>
      </c>
      <c r="H100" s="2883">
        <f>(-0.161*(H99^2)-7.509*H99+6533)*(10^(-4))</f>
        <v>0.65173380000000003</v>
      </c>
      <c r="I100" s="2883">
        <f>(-0.161*(I99^2)-7.509*I99+6533)*(10^(-4))</f>
        <v>0.65173380000000003</v>
      </c>
      <c r="J100" s="2883">
        <f>(-0.214*(J99^2)-21.991*J99+4665)*(10^(-4))</f>
        <v>0.46201620000000004</v>
      </c>
      <c r="K100" s="2883">
        <f>(-0.214*(K99^2)-21.991*K99+4665)*(10^(-4))</f>
        <v>0.46201620000000004</v>
      </c>
      <c r="L100" s="2883">
        <f>(-0.214*(L99^2)-21.991*L99+4665)*(10^(-4))</f>
        <v>0.46201620000000004</v>
      </c>
      <c r="M100" s="2883">
        <f>(-0.214*(M99^2)-21.991*M99+4665)*(10^(-4))</f>
        <v>0.46201620000000004</v>
      </c>
      <c r="N100" s="2883">
        <f>(-0.214*(N99^2)-21.991*N99+4665)*(10^(-4))</f>
        <v>0.46201620000000004</v>
      </c>
    </row>
    <row r="101" spans="1:14">
      <c r="A101" s="3279" t="s">
        <v>2975</v>
      </c>
      <c r="B101" s="2884" t="s">
        <v>2976</v>
      </c>
      <c r="C101" s="2885">
        <f>$G$3</f>
        <v>2.5</v>
      </c>
      <c r="D101" s="2885">
        <f t="shared" ref="D101:N101" si="31">$G$3</f>
        <v>2.5</v>
      </c>
      <c r="E101" s="2885">
        <f t="shared" si="31"/>
        <v>2.5</v>
      </c>
      <c r="F101" s="2885">
        <f t="shared" si="31"/>
        <v>2.5</v>
      </c>
      <c r="G101" s="2885">
        <f t="shared" si="31"/>
        <v>2.5</v>
      </c>
      <c r="H101" s="2885">
        <f t="shared" si="31"/>
        <v>2.5</v>
      </c>
      <c r="I101" s="2885">
        <f t="shared" si="31"/>
        <v>2.5</v>
      </c>
      <c r="J101" s="2885">
        <f t="shared" si="31"/>
        <v>2.5</v>
      </c>
      <c r="K101" s="2885">
        <f t="shared" si="31"/>
        <v>2.5</v>
      </c>
      <c r="L101" s="2885">
        <f t="shared" si="31"/>
        <v>2.5</v>
      </c>
      <c r="M101" s="2885">
        <f t="shared" si="31"/>
        <v>2.5</v>
      </c>
      <c r="N101" s="2885">
        <f t="shared" si="31"/>
        <v>2.5</v>
      </c>
    </row>
    <row r="102" spans="1:14">
      <c r="A102" s="3280"/>
      <c r="B102" s="2880">
        <v>1</v>
      </c>
      <c r="C102" s="2881">
        <f>1.9362/C101</f>
        <v>0.77447999999999995</v>
      </c>
      <c r="D102" s="2881">
        <f>1.9362/D101</f>
        <v>0.77447999999999995</v>
      </c>
      <c r="E102" s="2881">
        <f>1.8629/E101</f>
        <v>0.74516000000000004</v>
      </c>
      <c r="F102" s="2881">
        <f>1.8629/F101</f>
        <v>0.74516000000000004</v>
      </c>
      <c r="G102" s="2881">
        <f>1.8629/G101</f>
        <v>0.74516000000000004</v>
      </c>
      <c r="H102" s="2881">
        <f>1.8629/H101</f>
        <v>0.74516000000000004</v>
      </c>
      <c r="I102" s="2881">
        <f>1.8629/I101</f>
        <v>0.74516000000000004</v>
      </c>
      <c r="J102" s="2881">
        <f>1.942/J101</f>
        <v>0.77679999999999993</v>
      </c>
      <c r="K102" s="2881">
        <f>1.942/K101</f>
        <v>0.77679999999999993</v>
      </c>
      <c r="L102" s="2881">
        <f>1.942/L101</f>
        <v>0.77679999999999993</v>
      </c>
      <c r="M102" s="2881">
        <f>1.942/M101</f>
        <v>0.77679999999999993</v>
      </c>
      <c r="N102" s="2881">
        <f>1.942/N101</f>
        <v>0.77679999999999993</v>
      </c>
    </row>
    <row r="103" spans="1:14">
      <c r="A103" s="3280"/>
      <c r="B103" s="2880">
        <v>2</v>
      </c>
      <c r="C103" s="2881">
        <f>1.4198/C101</f>
        <v>0.56791999999999998</v>
      </c>
      <c r="D103" s="2881">
        <f>1.4198/D101</f>
        <v>0.56791999999999998</v>
      </c>
      <c r="E103" s="2881">
        <f>1.3372/E101</f>
        <v>0.53488000000000002</v>
      </c>
      <c r="F103" s="2881">
        <f>1.3372/F101</f>
        <v>0.53488000000000002</v>
      </c>
      <c r="G103" s="2881">
        <f>1.3372/G101</f>
        <v>0.53488000000000002</v>
      </c>
      <c r="H103" s="2881">
        <f>1.3372/H101</f>
        <v>0.53488000000000002</v>
      </c>
      <c r="I103" s="2881">
        <f>1.3372/I101</f>
        <v>0.53488000000000002</v>
      </c>
      <c r="J103" s="2881">
        <f>1.2799/J101</f>
        <v>0.51195999999999997</v>
      </c>
      <c r="K103" s="2881">
        <f>1.2799/K101</f>
        <v>0.51195999999999997</v>
      </c>
      <c r="L103" s="2881">
        <f>1.2799/L101</f>
        <v>0.51195999999999997</v>
      </c>
      <c r="M103" s="2881">
        <f>1.2799/M101</f>
        <v>0.51195999999999997</v>
      </c>
      <c r="N103" s="2881">
        <f>1.2799/N101</f>
        <v>0.51195999999999997</v>
      </c>
    </row>
    <row r="104" spans="1:14">
      <c r="A104" s="3280"/>
      <c r="B104" s="2880">
        <v>3</v>
      </c>
      <c r="C104" s="2881">
        <f>1.1594/C101</f>
        <v>0.46376000000000001</v>
      </c>
      <c r="D104" s="2881">
        <f>1.1594/D101</f>
        <v>0.46376000000000001</v>
      </c>
      <c r="E104" s="2881">
        <f>1.0788/E101</f>
        <v>0.43152000000000001</v>
      </c>
      <c r="F104" s="2881">
        <f>1.0788/F101</f>
        <v>0.43152000000000001</v>
      </c>
      <c r="G104" s="2881">
        <f>1.0788/G101</f>
        <v>0.43152000000000001</v>
      </c>
      <c r="H104" s="2881">
        <f>1.0788/H101</f>
        <v>0.43152000000000001</v>
      </c>
      <c r="I104" s="2881">
        <f>1.0788/I101</f>
        <v>0.43152000000000001</v>
      </c>
      <c r="J104" s="2881">
        <f>1.0072/J101</f>
        <v>0.40288000000000002</v>
      </c>
      <c r="K104" s="2881">
        <f>1.0072/K101</f>
        <v>0.40288000000000002</v>
      </c>
      <c r="L104" s="2881">
        <f>1.0072/L101</f>
        <v>0.40288000000000002</v>
      </c>
      <c r="M104" s="2881">
        <f>1.0072/M101</f>
        <v>0.40288000000000002</v>
      </c>
      <c r="N104" s="2881">
        <f>1.0072/N101</f>
        <v>0.40288000000000002</v>
      </c>
    </row>
    <row r="105" spans="1:14">
      <c r="A105" s="3280"/>
      <c r="B105" s="2880">
        <v>4</v>
      </c>
      <c r="C105" s="2881">
        <f>0.9622/C101</f>
        <v>0.38488</v>
      </c>
      <c r="D105" s="2881">
        <f>0.9622/D101</f>
        <v>0.38488</v>
      </c>
      <c r="E105" s="2881">
        <f>0.8656/E101</f>
        <v>0.34623999999999999</v>
      </c>
      <c r="F105" s="2881">
        <f>0.8656/F101</f>
        <v>0.34623999999999999</v>
      </c>
      <c r="G105" s="2881">
        <f>0.8656/G101</f>
        <v>0.34623999999999999</v>
      </c>
      <c r="H105" s="2881">
        <f>0.8656/H101</f>
        <v>0.34623999999999999</v>
      </c>
      <c r="I105" s="2881">
        <f>0.8656/I101</f>
        <v>0.34623999999999999</v>
      </c>
      <c r="J105" s="2881">
        <f>0.7525/J101</f>
        <v>0.30099999999999999</v>
      </c>
      <c r="K105" s="2881">
        <f>0.7525/K101</f>
        <v>0.30099999999999999</v>
      </c>
      <c r="L105" s="2881">
        <f>0.7525/L101</f>
        <v>0.30099999999999999</v>
      </c>
      <c r="M105" s="2881">
        <f>0.7525/M101</f>
        <v>0.30099999999999999</v>
      </c>
      <c r="N105" s="2881">
        <f>0.7525/N101</f>
        <v>0.30099999999999999</v>
      </c>
    </row>
    <row r="106" spans="1:14">
      <c r="A106" s="3280"/>
      <c r="B106" s="2880">
        <v>5</v>
      </c>
      <c r="C106" s="2881">
        <f>0.8417/C101</f>
        <v>0.33667999999999998</v>
      </c>
      <c r="D106" s="2881">
        <f>0.8417/D101</f>
        <v>0.33667999999999998</v>
      </c>
      <c r="E106" s="2881">
        <f>0.7371/E101</f>
        <v>0.29483999999999999</v>
      </c>
      <c r="F106" s="2881">
        <f>0.7371/F101</f>
        <v>0.29483999999999999</v>
      </c>
      <c r="G106" s="2881">
        <f>0.7371/G101</f>
        <v>0.29483999999999999</v>
      </c>
      <c r="H106" s="2881">
        <f>0.7371/H101</f>
        <v>0.29483999999999999</v>
      </c>
      <c r="I106" s="2881">
        <f>0.7371/I101</f>
        <v>0.29483999999999999</v>
      </c>
      <c r="J106" s="2881">
        <f>0.5659/J101</f>
        <v>0.22635999999999998</v>
      </c>
      <c r="K106" s="2881">
        <f>0.5659/K101</f>
        <v>0.22635999999999998</v>
      </c>
      <c r="L106" s="2881">
        <f>0.5659/L101</f>
        <v>0.22635999999999998</v>
      </c>
      <c r="M106" s="2881">
        <f>0.5659/M101</f>
        <v>0.22635999999999998</v>
      </c>
      <c r="N106" s="2881">
        <f>0.5659/N101</f>
        <v>0.22635999999999998</v>
      </c>
    </row>
    <row r="107" spans="1:14">
      <c r="A107" s="3280"/>
      <c r="B107" s="2880">
        <v>6</v>
      </c>
      <c r="C107" s="2881">
        <f>0.7608/C101</f>
        <v>0.30432000000000003</v>
      </c>
      <c r="D107" s="2881">
        <f>0.7608/D101</f>
        <v>0.30432000000000003</v>
      </c>
      <c r="E107" s="2881">
        <f>0.6482/E101</f>
        <v>0.25928000000000001</v>
      </c>
      <c r="F107" s="2881">
        <f>0.6482/F101</f>
        <v>0.25928000000000001</v>
      </c>
      <c r="G107" s="2881">
        <f>0.6482/G101</f>
        <v>0.25928000000000001</v>
      </c>
      <c r="H107" s="2881">
        <f>0.6482/H101</f>
        <v>0.25928000000000001</v>
      </c>
      <c r="I107" s="2881">
        <f>0.6482/I101</f>
        <v>0.25928000000000001</v>
      </c>
      <c r="J107" s="2881">
        <f>0.4525/J101</f>
        <v>0.18099999999999999</v>
      </c>
      <c r="K107" s="2881">
        <f>0.4525/K101</f>
        <v>0.18099999999999999</v>
      </c>
      <c r="L107" s="2881">
        <f>0.4525/L101</f>
        <v>0.18099999999999999</v>
      </c>
      <c r="M107" s="2881">
        <f>0.4525/M101</f>
        <v>0.18099999999999999</v>
      </c>
      <c r="N107" s="2881">
        <f>0.4525/N101</f>
        <v>0.18099999999999999</v>
      </c>
    </row>
    <row r="108" spans="1:14">
      <c r="A108" s="3280"/>
      <c r="B108" s="3138" t="s">
        <v>2869</v>
      </c>
      <c r="C108" s="2882">
        <f>C99</f>
        <v>2</v>
      </c>
      <c r="D108" s="2882">
        <f t="shared" ref="D108:N108" si="32">D99</f>
        <v>2</v>
      </c>
      <c r="E108" s="2882">
        <f t="shared" si="32"/>
        <v>2</v>
      </c>
      <c r="F108" s="2882">
        <f t="shared" si="32"/>
        <v>2</v>
      </c>
      <c r="G108" s="2882">
        <f t="shared" si="32"/>
        <v>2</v>
      </c>
      <c r="H108" s="2882">
        <f t="shared" si="32"/>
        <v>2</v>
      </c>
      <c r="I108" s="2882">
        <f t="shared" si="32"/>
        <v>2</v>
      </c>
      <c r="J108" s="2882">
        <f t="shared" si="32"/>
        <v>2</v>
      </c>
      <c r="K108" s="2882">
        <f t="shared" si="32"/>
        <v>2</v>
      </c>
      <c r="L108" s="2882">
        <f t="shared" si="32"/>
        <v>2</v>
      </c>
      <c r="M108" s="2882">
        <f t="shared" si="32"/>
        <v>2</v>
      </c>
      <c r="N108" s="2882">
        <f t="shared" si="32"/>
        <v>2</v>
      </c>
    </row>
    <row r="109" spans="1:14">
      <c r="A109" s="3281"/>
      <c r="B109" s="3139"/>
      <c r="C109" s="2883">
        <f>(-0.163*(C108^2)-0.59*C108+7617)*(10^(-4))/C101</f>
        <v>0.30460672</v>
      </c>
      <c r="D109" s="2883">
        <f>(-0.163*(D108^2)-0.59*D108+7617)*(10^(-4))/D101</f>
        <v>0.30460672</v>
      </c>
      <c r="E109" s="2883">
        <f>(-0.161*(E108^2)-7.509*E108+6533)*(10^(-4))/E101</f>
        <v>0.26069352000000001</v>
      </c>
      <c r="F109" s="2883">
        <f>(-0.161*(F108^2)-7.509*F108+6533)*(10^(-4))/F101</f>
        <v>0.26069352000000001</v>
      </c>
      <c r="G109" s="2883">
        <f>(-0.161*(G108^2)-7.509*G108+6533)*(10^(-4))/G101</f>
        <v>0.26069352000000001</v>
      </c>
      <c r="H109" s="2883">
        <f>(-0.161*(H108^2)-7.509*H108+6533)*(10^(-4))/H101</f>
        <v>0.26069352000000001</v>
      </c>
      <c r="I109" s="2883">
        <f>(-0.161*(I108^2)-7.509*I108+6533)*(10^(-4))/I101</f>
        <v>0.26069352000000001</v>
      </c>
      <c r="J109" s="2883">
        <f>(-0.214*(J108^2)-21.991*J108+4665)*(10^(-4))/J101</f>
        <v>0.18480648000000002</v>
      </c>
      <c r="K109" s="2883">
        <f>(-0.214*(K108^2)-21.991*K108+4665)*(10^(-4))/K101</f>
        <v>0.18480648000000002</v>
      </c>
      <c r="L109" s="2883">
        <f>(-0.214*(L108^2)-21.991*L108+4665)*(10^(-4))/L101</f>
        <v>0.18480648000000002</v>
      </c>
      <c r="M109" s="2883">
        <f>(-0.214*(M108^2)-21.991*M108+4665)*(10^(-4))/M101</f>
        <v>0.18480648000000002</v>
      </c>
      <c r="N109" s="2883">
        <f>(-0.214*(N108^2)-21.991*N108+4665)*(10^(-4))/N101</f>
        <v>0.18480648000000002</v>
      </c>
    </row>
    <row r="110" spans="1:14">
      <c r="A110" s="3277" t="s">
        <v>2978</v>
      </c>
      <c r="B110" s="3277"/>
      <c r="C110" s="3277"/>
      <c r="D110" s="3277"/>
      <c r="E110" s="3277"/>
      <c r="F110" s="3277"/>
      <c r="G110" s="3277"/>
      <c r="H110" s="3277"/>
      <c r="I110" s="3277"/>
      <c r="J110" s="3277"/>
      <c r="K110" s="2967"/>
      <c r="L110" s="2967"/>
      <c r="M110" s="2967"/>
      <c r="N110" s="2967"/>
    </row>
    <row r="112" spans="1:14" ht="13.5" thickBot="1"/>
    <row r="113" spans="1:13" ht="25.5" thickBot="1">
      <c r="A113" s="903" t="s">
        <v>2979</v>
      </c>
      <c r="B113" s="1287">
        <f>G3</f>
        <v>2.5</v>
      </c>
      <c r="C113" s="904" t="s">
        <v>2980</v>
      </c>
      <c r="D113" s="905">
        <f>SUMPRODUCT((A115:A118=F113)*(B114:M114=H113)*B115:M118)</f>
        <v>0.80589999999999995</v>
      </c>
      <c r="E113" s="2717" t="s">
        <v>2814</v>
      </c>
      <c r="F113" s="2888" t="str">
        <f>E2</f>
        <v>商业</v>
      </c>
      <c r="G113" s="2717" t="s">
        <v>2815</v>
      </c>
      <c r="H113" s="2888" t="str">
        <f>G2</f>
        <v>四级</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2879</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2880</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A4" sqref="A4:J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2804</v>
      </c>
      <c r="B1" s="241"/>
      <c r="C1" s="245" t="s">
        <v>2805</v>
      </c>
      <c r="D1" s="388">
        <f>SUM(D29:D30,D33:D39)</f>
        <v>1600</v>
      </c>
      <c r="E1" s="2710"/>
      <c r="F1" s="2710"/>
      <c r="G1" s="2710"/>
      <c r="H1" s="2710"/>
      <c r="I1" s="2710"/>
      <c r="J1" s="2710"/>
      <c r="K1" s="1370"/>
      <c r="L1" s="2711" t="s">
        <v>2806</v>
      </c>
      <c r="M1" s="1080">
        <f>SUMPRODUCT((区片价!B5:B9=I2)*(区片价!C3:F3=E2)*(区片价!C5:F9))</f>
        <v>0</v>
      </c>
      <c r="N1" s="1083">
        <f>SUMPRODUCT((因素修正幅度!B5:B9=I2)*(因素修正幅度!C3:F3=E2)*(因素修正幅度!C5:F9))</f>
        <v>0</v>
      </c>
      <c r="O1" s="2712"/>
      <c r="P1" s="271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3782</v>
      </c>
      <c r="C2" s="2714" t="s">
        <v>2813</v>
      </c>
      <c r="D2" s="2715" t="s">
        <v>2814</v>
      </c>
      <c r="E2" s="2716" t="s">
        <v>1372</v>
      </c>
      <c r="F2" s="2715" t="s">
        <v>2815</v>
      </c>
      <c r="G2" s="2717" t="str">
        <f>IF(E2="商业",项目基本情况!B37,IF(E2="办公",项目基本情况!C37,IF(E2="住宅",项目基本情况!D37,项目基本情况!E37)))</f>
        <v>四级</v>
      </c>
      <c r="H2" s="2715" t="s">
        <v>2816</v>
      </c>
      <c r="I2" s="2717" t="str">
        <f>IF(E2="商业",项目基本情况!B38,IF(E2="办公",项目基本情况!C38,IF(E2="住宅",项目基本情况!D38,项目基本情况!E38)))</f>
        <v>Ⅳ-02</v>
      </c>
      <c r="J2" s="2718"/>
      <c r="K2" s="1370"/>
      <c r="L2" s="271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40821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2818</v>
      </c>
      <c r="B3" s="248">
        <f ca="1">ROUND(B2*10000/D1,0)</f>
        <v>23638</v>
      </c>
      <c r="C3" s="2714" t="s">
        <v>2819</v>
      </c>
      <c r="D3" s="2715" t="s">
        <v>2820</v>
      </c>
      <c r="E3" s="2720" t="s">
        <v>3072</v>
      </c>
      <c r="F3" s="2721" t="s">
        <v>3073</v>
      </c>
      <c r="G3" s="916">
        <f>IF(F3="宗地容积率",'数据-汇总表'!I4,IF(F3="估价对象容积率",'数据-汇总表'!I6,'数据-汇总表'!I7))</f>
        <v>2.5</v>
      </c>
      <c r="H3" s="198" t="s">
        <v>2821</v>
      </c>
      <c r="I3" s="944">
        <v>3</v>
      </c>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29301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19" t="s">
        <v>2824</v>
      </c>
      <c r="M4" s="1081">
        <f>SUMPRODUCT((区片价!B49:B75=I2)*(区片价!C3:F3=E2)*(区片价!C49:F75))</f>
        <v>19040</v>
      </c>
      <c r="N4" s="1083">
        <f>SUMPRODUCT((因素修正幅度!B49:B75=I2)*(因素修正幅度!C3:F3=E2)*(因素修正幅度!C49:F75))</f>
        <v>7.4999999999999997E-2</v>
      </c>
      <c r="O4" s="1370"/>
      <c r="P4" s="1370"/>
      <c r="Q4" s="1370"/>
      <c r="R4" s="1602">
        <v>3</v>
      </c>
      <c r="S4" s="1602">
        <f>ROUND(IF(G3&gt;1,IF(R4&lt;7,SUMPRODUCT((B93:B98=R4)*(C92:N92=G2)*(C93:N98)),SUMIF(C92:N92,G2,C100:N100)),IF(R4&lt;7,SUMPRODUCT((B102:B107=R4)*(C92:N92=G2)*(C102:N107)),SUMIF(C92:N92,G2,C109:N109))),4)</f>
        <v>1.0788</v>
      </c>
      <c r="T4" s="1602">
        <f t="shared" ca="1" si="0"/>
        <v>23639</v>
      </c>
      <c r="U4" s="1603"/>
      <c r="V4" s="1602">
        <f t="shared" ca="1" si="1"/>
        <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f>ROUND(IF(E2="商业",C6*C7+C16,(IF(E2="住宅",C6*C12+C16,C6+C16))),0)</f>
        <v>19040</v>
      </c>
      <c r="D5" s="1779">
        <f>ROUND(C6+C16,0)</f>
        <v>19040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18967</v>
      </c>
      <c r="U5" s="1603"/>
      <c r="V5" s="1602">
        <f t="shared" ca="1" si="1"/>
        <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19040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16152</v>
      </c>
      <c r="U6" s="1603"/>
      <c r="V6" s="1602">
        <f t="shared" ca="1" si="1"/>
        <v>0</v>
      </c>
      <c r="W6" s="1606"/>
      <c r="X6" s="1606"/>
      <c r="Y6" s="1606"/>
      <c r="Z6" s="1606"/>
      <c r="AA6" s="1606"/>
      <c r="AB6" s="1606"/>
      <c r="AC6" s="2728"/>
      <c r="AD6" s="2729"/>
      <c r="AE6" s="2729"/>
      <c r="AF6" s="2729"/>
      <c r="AG6" s="2729"/>
      <c r="AH6" s="2729"/>
      <c r="AI6" s="2729"/>
      <c r="AJ6" s="2730"/>
    </row>
    <row r="7" spans="1:36" ht="24">
      <c r="A7" s="3271" t="str">
        <f>IF(E2="商业",IF(C8="不临58条商业街","",2),"")</f>
        <v/>
      </c>
      <c r="B7" s="2738" t="s">
        <v>2831</v>
      </c>
      <c r="C7" s="919">
        <f>IF(C8="不临58条商业街",1,ROUND(1+(1.6*E8+1.2*E9+0.8*E10+0.4*E11)*C9,4))</f>
        <v>1</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14204</v>
      </c>
      <c r="U7" s="1603"/>
      <c r="V7" s="1602">
        <f t="shared" ca="1" si="1"/>
        <v>0</v>
      </c>
      <c r="W7" s="2965" t="s">
        <v>2834</v>
      </c>
      <c r="X7" s="1604" t="str">
        <f>G2</f>
        <v>四级</v>
      </c>
      <c r="Y7" s="1604" t="s">
        <v>2835</v>
      </c>
      <c r="Z7" s="1605">
        <f>G3</f>
        <v>2.5</v>
      </c>
      <c r="AA7" s="1606"/>
      <c r="AB7" s="1606"/>
      <c r="AC7" s="1607"/>
      <c r="AD7" s="1608"/>
      <c r="AE7" s="1608"/>
      <c r="AF7" s="1608"/>
      <c r="AG7" s="1608"/>
      <c r="AH7" s="1608"/>
      <c r="AI7" s="1608"/>
      <c r="AJ7" s="1609"/>
    </row>
    <row r="8" spans="1:36" ht="25.5">
      <c r="A8" s="3272"/>
      <c r="B8" s="198" t="s">
        <v>2836</v>
      </c>
      <c r="C8" s="2743" t="s">
        <v>3074</v>
      </c>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4" t="s">
        <v>2839</v>
      </c>
      <c r="X8" s="3265"/>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2"/>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6"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6" t="s">
        <v>2863</v>
      </c>
      <c r="X11" s="1614" t="s">
        <v>2835</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71"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6"/>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57" t="s">
        <v>2870</v>
      </c>
      <c r="C13" s="2758" t="s">
        <v>2871</v>
      </c>
      <c r="D13" s="2962" t="s">
        <v>2872</v>
      </c>
      <c r="E13" s="2962" t="s">
        <v>2873</v>
      </c>
      <c r="F13" s="30" t="s">
        <v>2874</v>
      </c>
      <c r="G13" s="2759" t="s">
        <v>2875</v>
      </c>
      <c r="H13" s="2759" t="s">
        <v>2875</v>
      </c>
      <c r="I13" s="2759" t="s">
        <v>2875</v>
      </c>
      <c r="J13" s="2760" t="s">
        <v>2875</v>
      </c>
      <c r="K13" s="1370"/>
      <c r="L13" s="1370"/>
      <c r="M13" s="1370"/>
      <c r="N13" s="1370"/>
      <c r="O13" s="1370"/>
      <c r="P13" s="1370"/>
      <c r="Q13" s="1370"/>
      <c r="R13" s="1602">
        <v>12</v>
      </c>
      <c r="S13" s="1603"/>
      <c r="T13" s="1602">
        <f t="shared" ca="1" si="0"/>
        <v>0</v>
      </c>
      <c r="U13" s="1603"/>
      <c r="V13" s="1602">
        <f t="shared" ca="1" si="1"/>
        <v>0</v>
      </c>
      <c r="W13" s="3266"/>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3"/>
      <c r="B14" s="2761"/>
      <c r="C14" s="2762"/>
      <c r="D14" s="2763"/>
      <c r="E14" s="2763"/>
      <c r="F14" s="2764"/>
      <c r="G14" s="2765" t="s">
        <v>2876</v>
      </c>
      <c r="H14" s="2766"/>
      <c r="I14" s="2767"/>
      <c r="J14" s="276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4"/>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1" t="s">
        <v>2882</v>
      </c>
      <c r="B16" s="2738" t="s">
        <v>2883</v>
      </c>
      <c r="C16" s="2960">
        <f>ROUND(IF(F17="与级别开发程度一致",0,(G17-E17)/C17),0)</f>
        <v>0</v>
      </c>
      <c r="D16" s="3285" t="s">
        <v>2887</v>
      </c>
      <c r="E16" s="3286"/>
      <c r="F16" s="3285" t="s">
        <v>2884</v>
      </c>
      <c r="G16" s="3286"/>
      <c r="H16" s="2772"/>
      <c r="I16" s="2772"/>
      <c r="J16" s="2929"/>
      <c r="K16" s="2772"/>
      <c r="L16" s="2772"/>
      <c r="M16" s="2772"/>
      <c r="N16" s="2772"/>
      <c r="O16" s="277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5"/>
      <c r="B17" s="2936" t="s">
        <v>2886</v>
      </c>
      <c r="C17" s="2937">
        <f>SUMPRODUCT((修正!A2:A5=E2)*(修正!B1:M1=G2)*(修正!B2:M5))</f>
        <v>2.5</v>
      </c>
      <c r="D17" s="229" t="str">
        <f>IF(OR(G2="八级",G2="九级",G2="十级",G2="十一级",G2="十二级"),"五通一平","七通一平")</f>
        <v>七通一平</v>
      </c>
      <c r="E17" s="2926">
        <f>SUMPRODUCT((修正!B1:M1=G2)*(修正!B15:M15))</f>
        <v>300</v>
      </c>
      <c r="F17" s="2927" t="s">
        <v>3081</v>
      </c>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1</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25" thickBot="1">
      <c r="A19" s="2777" t="s">
        <v>809</v>
      </c>
      <c r="B19" s="2778" t="s">
        <v>2890</v>
      </c>
      <c r="C19" s="924">
        <f>ROUND(IF(H19="按公示增长率计算",SUMPRODUCT((地价!A3:A31=YEAR(G19)&amp;"-"&amp;ROUNDUP(MONTH(G19)/3,0))*(地价!X2:AB2=E2)*(地价!X3:AB31)),IF(H19="地价指数",M20/M19,(1+I19)^O19)),4)</f>
        <v>1.3577999999999999</v>
      </c>
      <c r="D19" s="2782" t="s">
        <v>2891</v>
      </c>
      <c r="E19" s="925">
        <v>41640</v>
      </c>
      <c r="F19" s="2782" t="s">
        <v>2892</v>
      </c>
      <c r="G19" s="926">
        <f>'数据-取费表'!B2</f>
        <v>44019</v>
      </c>
      <c r="H19" s="2783" t="s">
        <v>3080</v>
      </c>
      <c r="I19" s="927" t="str">
        <f>IF(H19="季度增幅（自定义）",SUMIF(N21:N24,E2,O21:O24),"")</f>
        <v/>
      </c>
      <c r="J19" s="2780"/>
      <c r="K19" s="1377"/>
      <c r="L19" s="2784" t="s">
        <v>2893</v>
      </c>
      <c r="M19" s="1734">
        <f>ROUND(SUMIF(地价!B2:F2,E2,地价!B31:F31),0)</f>
        <v>258</v>
      </c>
      <c r="N19" s="2785"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f ca="1">ROUND(POWER(1+G20,J20-I20)*(POWER(1+G20,I20)-1)/(POWER(1+G20,J20)-1),4)</f>
        <v>0.81679999999999997</v>
      </c>
      <c r="D20" s="2791" t="s">
        <v>2896</v>
      </c>
      <c r="E20" s="1760">
        <f ca="1">存贷款利率!D4/100</f>
        <v>4.3499999999999997E-2</v>
      </c>
      <c r="F20" s="2791" t="s">
        <v>2888</v>
      </c>
      <c r="G20" s="934">
        <f ca="1">SUMIF(M26:P26,E2,M28:P28)</f>
        <v>5.3999999999999999E-2</v>
      </c>
      <c r="H20" s="2791" t="s">
        <v>2897</v>
      </c>
      <c r="I20" s="2969">
        <f>SUMIF('数据-取费表'!C6:C15,E2,'数据-取费表'!F6:F15)/COUNTIF('数据-取费表'!C6:C15,E2)</f>
        <v>24.01</v>
      </c>
      <c r="J20" s="936">
        <f>IF(E2="住宅",70,IF(E2="商业",40,50))</f>
        <v>40</v>
      </c>
      <c r="K20" s="1377"/>
      <c r="L20" s="2792" t="s">
        <v>2898</v>
      </c>
      <c r="M20" s="1735">
        <f>ROUND(SUMPRODUCT((地价!A4:A31=YEAR(G19)&amp;"-"&amp;ROUNDUP(MONTH(G19)/3,0))*(地价!B2:F2=E2)*(地价!B4:F31)),0)</f>
        <v>350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3076</v>
      </c>
      <c r="C21" s="2964">
        <f>IF(B21="容积率修正",IF(G3&lt;=10,D22,J22),C23)</f>
        <v>1.0788</v>
      </c>
      <c r="D21" s="2798"/>
      <c r="E21" s="2798"/>
      <c r="F21" s="2798"/>
      <c r="G21" s="2798"/>
      <c r="H21" s="2798"/>
      <c r="I21" s="2798"/>
      <c r="J21" s="2799"/>
      <c r="K21" s="1377"/>
      <c r="N21" s="2800" t="s">
        <v>2902</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1" customFormat="1" ht="14.25">
      <c r="A22" s="2657" t="s">
        <v>2903</v>
      </c>
      <c r="B22" s="2801" t="s">
        <v>2904</v>
      </c>
      <c r="C22" s="2963" t="s">
        <v>2905</v>
      </c>
      <c r="D22" s="2963">
        <f>IF(E22=G22,F22,IF(G3&lt;=10,ROUND(F22+(H22-F22)*(G3-E22)/(G22-E22),4),"——"))</f>
        <v>1</v>
      </c>
      <c r="E22" s="916">
        <f>ROUNDDOWN(G3,1)</f>
        <v>2.5</v>
      </c>
      <c r="F22" s="29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29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963" t="s">
        <v>155</v>
      </c>
      <c r="J22" s="938" t="str">
        <f>IF(G3&gt;10,D113,"——")</f>
        <v>——</v>
      </c>
      <c r="K22" s="1377"/>
      <c r="N22" s="2800" t="s">
        <v>2906</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7" t="s">
        <v>2907</v>
      </c>
      <c r="B23" s="2802" t="s">
        <v>2908</v>
      </c>
      <c r="C23" s="1013">
        <f>ROUND(IF(G3&gt;1,IF(I3&lt;7,SUMPRODUCT((B93:B98=I3)*(C92:N92=G2)*(C93:N98)),SUMIF(C92:N92,G2,C100:N100)),IF(I3&lt;7,SUMPRODUCT((B102:B107=I3)*(C92:N92=G2)*(C102:N107)),SUMIF(C92:N92,G2,C109:N109))),4)</f>
        <v>1.0788</v>
      </c>
      <c r="D23" s="2766"/>
      <c r="E23" s="2766"/>
      <c r="F23" s="2803"/>
      <c r="G23" s="2804"/>
      <c r="H23" s="2805"/>
      <c r="I23" s="2806"/>
      <c r="J23" s="2807"/>
      <c r="K23" s="1370"/>
      <c r="N23" s="2800" t="s">
        <v>2909</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2910</v>
      </c>
      <c r="C24" s="924">
        <f>SUMIF(A45:A88,E2,B45:B88)</f>
        <v>1.0377000000000001</v>
      </c>
      <c r="D24" s="2779"/>
      <c r="E24" s="2808"/>
      <c r="F24" s="2808"/>
      <c r="G24" s="2808"/>
      <c r="H24" s="2808"/>
      <c r="I24" s="2808"/>
      <c r="J24" s="2809"/>
      <c r="K24" s="1377"/>
      <c r="N24" s="2810" t="s">
        <v>2911</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2912</v>
      </c>
      <c r="C25" s="930"/>
      <c r="D25" s="2741"/>
      <c r="E25" s="2741"/>
      <c r="F25" s="2812"/>
      <c r="G25" s="2741"/>
      <c r="H25" s="2741"/>
      <c r="I25" s="2741"/>
      <c r="J25" s="2742"/>
      <c r="K25" s="1370"/>
      <c r="N25" s="2813" t="s">
        <v>2913</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4"/>
      <c r="B26" s="2801" t="s">
        <v>2914</v>
      </c>
      <c r="C26" s="206">
        <f ca="1">E29+SUM(E33:E39)</f>
        <v>3782</v>
      </c>
      <c r="D26" s="2815"/>
      <c r="E26" s="2766"/>
      <c r="F26" s="2816"/>
      <c r="G26" s="2766"/>
      <c r="H26" s="2766"/>
      <c r="I26" s="2766"/>
      <c r="J26" s="2817"/>
      <c r="K26" s="1370"/>
      <c r="L26" s="2770" t="s">
        <v>2814</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2915</v>
      </c>
      <c r="C27" s="931">
        <f ca="1">E30+SUM(I33:I39)</f>
        <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2916</v>
      </c>
      <c r="C28" s="2825" t="s">
        <v>2917</v>
      </c>
      <c r="D28" s="2825" t="s">
        <v>2918</v>
      </c>
      <c r="E28" s="2826" t="s">
        <v>2919</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f ca="1">ROUND(C5*C18*C19*C20*C21*C24,0)</f>
        <v>23639</v>
      </c>
      <c r="D29" s="2830">
        <f>'数据-基础表'!I15</f>
        <v>1600</v>
      </c>
      <c r="E29" s="2968">
        <f ca="1">ROUND(C29*D29/10000,0)</f>
        <v>3782</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2922</v>
      </c>
      <c r="C30" s="229">
        <f ca="1">ROUND(IF(E2="工业",C29*M39,C29*M38),0)</f>
        <v>5910</v>
      </c>
      <c r="D30" s="2836"/>
      <c r="E30" s="2968">
        <f ca="1">ROUND(C30*D30/10000,0)</f>
        <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82" t="s">
        <v>2928</v>
      </c>
      <c r="B33" s="2846" t="s">
        <v>2929</v>
      </c>
      <c r="C33" s="206">
        <f ca="1">ROUND(D5*C19*C20*C24*F33,0)</f>
        <v>15339</v>
      </c>
      <c r="D33" s="2830"/>
      <c r="E33" s="200">
        <f ca="1">ROUND(C33*D33/10000,0)</f>
        <v>0</v>
      </c>
      <c r="F33" s="200">
        <f>SUMIF(修正!A45:A56,G2,修正!B45:B56)</f>
        <v>0.7</v>
      </c>
      <c r="G33" s="200">
        <f t="shared" ref="G33" ca="1" si="6">ROUND(IF(E2="工业",C33*$M$39,C33*$M$38),0)</f>
        <v>3835</v>
      </c>
      <c r="H33" s="200">
        <f>D33</f>
        <v>0</v>
      </c>
      <c r="I33" s="200">
        <f ca="1">ROUND(G33*H33/10000,0)</f>
        <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58" t="s">
        <v>2930</v>
      </c>
      <c r="C34" s="206">
        <f ca="1">ROUND(D5*C19*C20*C24*F34,0)</f>
        <v>8765</v>
      </c>
      <c r="D34" s="2830"/>
      <c r="E34" s="200">
        <f t="shared" ref="E34:E39" ca="1" si="7">ROUND(C34*D34/10000,0)</f>
        <v>0</v>
      </c>
      <c r="F34" s="200">
        <f>SUMIF(修正!A45:A56,G2,修正!C45:C56)</f>
        <v>0.4</v>
      </c>
      <c r="G34" s="200">
        <f ca="1">ROUND(IF(E2="工业",C34*$M$39,C34*$M$38),0)</f>
        <v>2191</v>
      </c>
      <c r="H34" s="200">
        <f t="shared" ref="H34:H39" si="8">D34</f>
        <v>0</v>
      </c>
      <c r="I34" s="200">
        <f t="shared" ref="I34:I39" ca="1" si="9">ROUND(G34*H34/10000,0)</f>
        <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58" t="s">
        <v>2931</v>
      </c>
      <c r="C35" s="206">
        <f ca="1">ROUND(D5*C19*C20*C24*F35,0)</f>
        <v>6135</v>
      </c>
      <c r="D35" s="2830"/>
      <c r="E35" s="200">
        <f t="shared" ca="1" si="7"/>
        <v>0</v>
      </c>
      <c r="F35" s="200">
        <f>SUMIF(修正!A45:A56,G2,修正!D45:D56)</f>
        <v>0.28000000000000003</v>
      </c>
      <c r="G35" s="200">
        <f ca="1">ROUND(IF(E2="工业",C35*$M$39,C35*$M$38),0)</f>
        <v>1534</v>
      </c>
      <c r="H35" s="200">
        <f t="shared" si="8"/>
        <v>0</v>
      </c>
      <c r="I35" s="200">
        <f t="shared" ca="1" si="9"/>
        <v>0</v>
      </c>
      <c r="J35" s="2847"/>
      <c r="K35" s="1370"/>
      <c r="L35" s="1370"/>
      <c r="M35" s="1370"/>
      <c r="N35" s="1370"/>
      <c r="O35" s="1370"/>
      <c r="P35" s="1370"/>
      <c r="Q35" s="1370"/>
      <c r="R35" s="1370"/>
      <c r="S35" s="1370"/>
      <c r="T35" s="1370"/>
      <c r="U35" s="1370"/>
      <c r="V35" s="1370"/>
      <c r="W35" s="1370"/>
      <c r="X35" s="1370"/>
      <c r="Y35" s="1370"/>
      <c r="Z35" s="1371"/>
    </row>
    <row r="36" spans="1:37" ht="13.5" thickBot="1">
      <c r="A36" s="3284"/>
      <c r="B36" s="2758" t="s">
        <v>2932</v>
      </c>
      <c r="C36" s="206">
        <f ca="1">ROUND(D5*C19*C20*C24*F36,0)</f>
        <v>5478</v>
      </c>
      <c r="D36" s="2830"/>
      <c r="E36" s="200">
        <f t="shared" ca="1" si="7"/>
        <v>0</v>
      </c>
      <c r="F36" s="200">
        <f>SUMIF(修正!A45:A56,G2,修正!E45:E56)</f>
        <v>0.25</v>
      </c>
      <c r="G36" s="200">
        <f ca="1">ROUND(IF(E2="工业",C36*$M$39,C36*$M$38),0)</f>
        <v>1370</v>
      </c>
      <c r="H36" s="200">
        <f t="shared" si="8"/>
        <v>0</v>
      </c>
      <c r="I36" s="200">
        <f t="shared" ca="1" si="9"/>
        <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f ca="1">ROUND(D5*C19*C20*C24*F37,0)</f>
        <v>5478</v>
      </c>
      <c r="D37" s="2830"/>
      <c r="E37" s="200">
        <f t="shared" ca="1" si="7"/>
        <v>0</v>
      </c>
      <c r="F37" s="206">
        <f>SUMIF(修正!A45:A56,G2,修正!F45:F56)</f>
        <v>0.25</v>
      </c>
      <c r="G37" s="200">
        <f ca="1">ROUND(IF(E2="工业",C37*$M$39,C37*$M$38),0)</f>
        <v>1370</v>
      </c>
      <c r="H37" s="200">
        <f t="shared" si="8"/>
        <v>0</v>
      </c>
      <c r="I37" s="200">
        <f t="shared" ca="1" si="9"/>
        <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f ca="1">ROUND(D5*C19*C41*C24*F38,0)</f>
        <v>0</v>
      </c>
      <c r="D38" s="2830"/>
      <c r="E38" s="200">
        <f t="shared" ca="1" si="7"/>
        <v>0</v>
      </c>
      <c r="F38" s="206">
        <f>SUMIF(修正!A45:A56,G2,修正!G45:G56)</f>
        <v>0.25</v>
      </c>
      <c r="G38" s="200">
        <f ca="1">ROUND(IF(E2="工业",C38*$M$39,C38*$M$38),0)</f>
        <v>0</v>
      </c>
      <c r="H38" s="200">
        <f t="shared" si="8"/>
        <v>0</v>
      </c>
      <c r="I38" s="200">
        <f t="shared" ca="1" si="9"/>
        <v>0</v>
      </c>
      <c r="J38" s="2847"/>
      <c r="K38" s="1370"/>
      <c r="L38" s="1879" t="s">
        <v>2936</v>
      </c>
      <c r="M38" s="2851">
        <v>0.25</v>
      </c>
      <c r="N38" s="1370"/>
      <c r="O38" s="1370"/>
      <c r="P38" s="1370"/>
      <c r="Q38" s="1370"/>
      <c r="R38" s="1370"/>
      <c r="S38" s="1370"/>
      <c r="T38" s="1370"/>
      <c r="U38" s="1370"/>
      <c r="V38" s="1370"/>
      <c r="W38" s="1370"/>
      <c r="X38" s="1370"/>
      <c r="Y38" s="1370"/>
      <c r="Z38" s="1371"/>
    </row>
    <row r="39" spans="1:37" ht="13.5" thickBot="1">
      <c r="A39" s="2834"/>
      <c r="B39" s="2852" t="s">
        <v>2937</v>
      </c>
      <c r="C39" s="229">
        <f ca="1">ROUND(D5*C19*C41*C24*F39,0)</f>
        <v>0</v>
      </c>
      <c r="D39" s="2836"/>
      <c r="E39" s="229">
        <f t="shared" ca="1" si="7"/>
        <v>0</v>
      </c>
      <c r="F39" s="932">
        <f>SUMIF(修正!A45:A56,G2,修正!H45:H56)</f>
        <v>0.2</v>
      </c>
      <c r="G39" s="229">
        <f ca="1">ROUND(IF(E2="工业",C39*$M$39,C39*$M$38),0)</f>
        <v>0</v>
      </c>
      <c r="H39" s="229">
        <f t="shared" si="8"/>
        <v>0</v>
      </c>
      <c r="I39" s="229">
        <f t="shared" ca="1" si="9"/>
        <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f ca="1">ROUND(POWER(1+E41,H41-G41)*(POWER(1+E41,G41)-1)/(POWER(1+E41,H41)-1),4)</f>
        <v>0</v>
      </c>
      <c r="D41" s="200" t="s">
        <v>2888</v>
      </c>
      <c r="E41" s="292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2939</v>
      </c>
      <c r="B46" s="2860">
        <f>1+E48</f>
        <v>1.0377000000000001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2940</v>
      </c>
      <c r="B47" s="2961" t="s">
        <v>2941</v>
      </c>
      <c r="C47" s="2961" t="s">
        <v>2942</v>
      </c>
      <c r="D47" s="2961" t="s">
        <v>2943</v>
      </c>
      <c r="E47" s="819" t="s">
        <v>2944</v>
      </c>
      <c r="F47" s="2864" t="s">
        <v>2945</v>
      </c>
      <c r="G47" s="2961" t="s">
        <v>754</v>
      </c>
      <c r="H47" s="2865" t="s">
        <v>2946</v>
      </c>
      <c r="I47" s="2961"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2948</v>
      </c>
      <c r="B48" s="2866" t="str">
        <f>估价对象房地状况!C4</f>
        <v>估价对象位于XX商圈，周边商业氛围成熟，人流量大，商业繁华度好</v>
      </c>
      <c r="C48" s="2763" t="s">
        <v>3077</v>
      </c>
      <c r="D48" s="1286">
        <f t="shared" ref="D48:D56" si="10">SUMIF($J$47:$N$47,C48,J48:N48)</f>
        <v>1.23E-2</v>
      </c>
      <c r="E48" s="821">
        <f>ROUND(SUM(D48:D56),4)</f>
        <v>3.7699999999999997E-2</v>
      </c>
      <c r="F48" s="2494">
        <f>IF(E2="商业",SUMIF(L1:L12,G2,N1:N12),"——")</f>
        <v>7.4999999999999997E-2</v>
      </c>
      <c r="G48" s="1284">
        <v>1.23E-2</v>
      </c>
      <c r="H48" s="1288">
        <f t="shared" ref="H48:H56" si="11">IFERROR(ROUNDDOWN($F$48*I48/2,4),"——")</f>
        <v>1.23E-2</v>
      </c>
      <c r="I48" s="820">
        <v>0.33</v>
      </c>
      <c r="J48" s="1285">
        <f t="shared" ref="J48:J56" si="12">K48+$G48</f>
        <v>2.46E-2</v>
      </c>
      <c r="K48" s="1285">
        <f t="shared" ref="K48:K56" si="13">$L48+$G48</f>
        <v>1.23E-2</v>
      </c>
      <c r="L48" s="1285">
        <v>0</v>
      </c>
      <c r="M48" s="1285">
        <f t="shared" ref="M48:N56" si="14">L48-$G48</f>
        <v>-1.23E-2</v>
      </c>
      <c r="N48" s="1285">
        <f t="shared" si="14"/>
        <v>-2.46E-2</v>
      </c>
      <c r="AA48" s="1371"/>
      <c r="AB48" s="1371"/>
      <c r="AC48" s="1371"/>
      <c r="AD48" s="1371"/>
      <c r="AE48" s="1371"/>
      <c r="AF48" s="1371"/>
      <c r="AG48" s="1371"/>
      <c r="AH48" s="1371"/>
      <c r="AI48" s="1371"/>
      <c r="AJ48" s="1371"/>
      <c r="AK48" s="1371"/>
    </row>
    <row r="49" spans="1:37" s="1370" customFormat="1" ht="51">
      <c r="A49" s="2863" t="s">
        <v>2949</v>
      </c>
      <c r="B49" s="2867" t="str">
        <f>估价对象房地状况!C18</f>
        <v>估价对象周边道路状况、公共交通通达情况、停车便捷程度，综合评价交通便捷度较好</v>
      </c>
      <c r="C49" s="2763" t="s">
        <v>3077</v>
      </c>
      <c r="D49" s="1286">
        <f t="shared" si="10"/>
        <v>9.2999999999999992E-3</v>
      </c>
      <c r="E49" s="822"/>
      <c r="F49" s="2494"/>
      <c r="G49" s="1284">
        <v>9.2999999999999992E-3</v>
      </c>
      <c r="H49" s="1288">
        <f t="shared" si="11"/>
        <v>9.2999999999999992E-3</v>
      </c>
      <c r="I49" s="820">
        <v>0.25</v>
      </c>
      <c r="J49" s="1285">
        <f t="shared" si="12"/>
        <v>1.8599999999999998E-2</v>
      </c>
      <c r="K49" s="1285">
        <f t="shared" si="13"/>
        <v>9.2999999999999992E-3</v>
      </c>
      <c r="L49" s="1285">
        <v>0</v>
      </c>
      <c r="M49" s="1285">
        <f t="shared" si="14"/>
        <v>-9.2999999999999992E-3</v>
      </c>
      <c r="N49" s="1285">
        <f t="shared" si="14"/>
        <v>-1.8599999999999998E-2</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t="s">
        <v>3077</v>
      </c>
      <c r="D50" s="1286">
        <f t="shared" si="10"/>
        <v>1.8E-3</v>
      </c>
      <c r="E50" s="822"/>
      <c r="F50" s="2494"/>
      <c r="G50" s="1284">
        <v>1.8E-3</v>
      </c>
      <c r="H50" s="1288">
        <f t="shared" si="11"/>
        <v>1.8E-3</v>
      </c>
      <c r="I50" s="820">
        <v>0.05</v>
      </c>
      <c r="J50" s="1285">
        <f t="shared" si="12"/>
        <v>3.5999999999999999E-3</v>
      </c>
      <c r="K50" s="1285">
        <f t="shared" si="13"/>
        <v>1.8E-3</v>
      </c>
      <c r="L50" s="1285">
        <v>0</v>
      </c>
      <c r="M50" s="1285">
        <f t="shared" si="14"/>
        <v>-1.8E-3</v>
      </c>
      <c r="N50" s="1285">
        <f t="shared" si="14"/>
        <v>-3.5999999999999999E-3</v>
      </c>
      <c r="AA50" s="1371"/>
      <c r="AB50" s="1371"/>
      <c r="AC50" s="1371"/>
      <c r="AD50" s="1371"/>
      <c r="AE50" s="1371"/>
      <c r="AF50" s="1371"/>
      <c r="AG50" s="1371"/>
      <c r="AH50" s="1371"/>
      <c r="AI50" s="1371"/>
      <c r="AJ50" s="1371"/>
      <c r="AK50" s="1371"/>
    </row>
    <row r="51" spans="1:37" s="1370" customFormat="1" ht="36.75">
      <c r="A51" s="2863" t="s">
        <v>2951</v>
      </c>
      <c r="B51" s="2868" t="s">
        <v>2952</v>
      </c>
      <c r="C51" s="2763" t="s">
        <v>3077</v>
      </c>
      <c r="D51" s="1286">
        <f t="shared" si="10"/>
        <v>1.8E-3</v>
      </c>
      <c r="E51" s="822"/>
      <c r="F51" s="2494"/>
      <c r="G51" s="1284">
        <v>1.8E-3</v>
      </c>
      <c r="H51" s="1288">
        <f t="shared" si="11"/>
        <v>1.8E-3</v>
      </c>
      <c r="I51" s="820">
        <v>0.05</v>
      </c>
      <c r="J51" s="1285">
        <f t="shared" si="12"/>
        <v>3.5999999999999999E-3</v>
      </c>
      <c r="K51" s="1285">
        <f t="shared" si="13"/>
        <v>1.8E-3</v>
      </c>
      <c r="L51" s="1285">
        <v>0</v>
      </c>
      <c r="M51" s="1285">
        <f t="shared" si="14"/>
        <v>-1.8E-3</v>
      </c>
      <c r="N51" s="1285">
        <f t="shared" si="14"/>
        <v>-3.5999999999999999E-3</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t="s">
        <v>3078</v>
      </c>
      <c r="D52" s="1286">
        <f t="shared" si="10"/>
        <v>0</v>
      </c>
      <c r="E52" s="822"/>
      <c r="F52" s="2494"/>
      <c r="G52" s="1284">
        <v>3.0000000000000001E-3</v>
      </c>
      <c r="H52" s="1288">
        <f t="shared" si="11"/>
        <v>3.0000000000000001E-3</v>
      </c>
      <c r="I52" s="820">
        <v>0.08</v>
      </c>
      <c r="J52" s="1285">
        <f t="shared" si="12"/>
        <v>6.0000000000000001E-3</v>
      </c>
      <c r="K52" s="1285">
        <f t="shared" si="13"/>
        <v>3.0000000000000001E-3</v>
      </c>
      <c r="L52" s="1285">
        <v>0</v>
      </c>
      <c r="M52" s="1285">
        <f t="shared" si="14"/>
        <v>-3.0000000000000001E-3</v>
      </c>
      <c r="N52" s="1285">
        <f t="shared" si="14"/>
        <v>-6.0000000000000001E-3</v>
      </c>
      <c r="AA52" s="1371"/>
      <c r="AB52" s="1371"/>
      <c r="AC52" s="1371"/>
      <c r="AD52" s="1371"/>
      <c r="AE52" s="1371"/>
      <c r="AF52" s="1371"/>
      <c r="AG52" s="1371"/>
      <c r="AH52" s="1371"/>
      <c r="AI52" s="1371"/>
      <c r="AJ52" s="1371"/>
      <c r="AK52" s="1371"/>
    </row>
    <row r="53" spans="1:37" s="1370" customFormat="1" ht="24">
      <c r="A53" s="2863" t="s">
        <v>2954</v>
      </c>
      <c r="B53" s="2869" t="s">
        <v>2955</v>
      </c>
      <c r="C53" s="2763" t="s">
        <v>3077</v>
      </c>
      <c r="D53" s="1286">
        <f t="shared" si="10"/>
        <v>1.1000000000000001E-3</v>
      </c>
      <c r="E53" s="822"/>
      <c r="F53" s="2494"/>
      <c r="G53" s="1284">
        <v>1.1000000000000001E-3</v>
      </c>
      <c r="H53" s="1288">
        <f t="shared" si="11"/>
        <v>1.1000000000000001E-3</v>
      </c>
      <c r="I53" s="820">
        <v>0.03</v>
      </c>
      <c r="J53" s="1285">
        <f t="shared" si="12"/>
        <v>2.2000000000000001E-3</v>
      </c>
      <c r="K53" s="1285">
        <f t="shared" si="13"/>
        <v>1.1000000000000001E-3</v>
      </c>
      <c r="L53" s="1285">
        <v>0</v>
      </c>
      <c r="M53" s="1285">
        <f t="shared" si="14"/>
        <v>-1.1000000000000001E-3</v>
      </c>
      <c r="N53" s="1285">
        <f t="shared" si="14"/>
        <v>-2.2000000000000001E-3</v>
      </c>
      <c r="AA53" s="1371"/>
      <c r="AB53" s="1371"/>
      <c r="AC53" s="1371"/>
      <c r="AD53" s="1371"/>
      <c r="AE53" s="1371"/>
      <c r="AF53" s="1371"/>
      <c r="AG53" s="1371"/>
      <c r="AH53" s="1371"/>
      <c r="AI53" s="1371"/>
      <c r="AJ53" s="1371"/>
      <c r="AK53" s="1371"/>
    </row>
    <row r="54" spans="1:37" s="1370" customFormat="1" ht="25.5">
      <c r="A54" s="2870" t="s">
        <v>2956</v>
      </c>
      <c r="B54" s="1725" t="str">
        <f>估价对象房地状况!C21</f>
        <v>估价对象所在区域公共配套设施齐备情况</v>
      </c>
      <c r="C54" s="2763" t="s">
        <v>3077</v>
      </c>
      <c r="D54" s="1286">
        <f t="shared" si="10"/>
        <v>1.8E-3</v>
      </c>
      <c r="E54" s="822"/>
      <c r="F54" s="2494"/>
      <c r="G54" s="1284">
        <v>1.8E-3</v>
      </c>
      <c r="H54" s="1288">
        <f t="shared" si="11"/>
        <v>1.8E-3</v>
      </c>
      <c r="I54" s="820">
        <v>0.05</v>
      </c>
      <c r="J54" s="1285">
        <f t="shared" si="12"/>
        <v>3.5999999999999999E-3</v>
      </c>
      <c r="K54" s="1285">
        <f t="shared" si="13"/>
        <v>1.8E-3</v>
      </c>
      <c r="L54" s="1285">
        <v>0</v>
      </c>
      <c r="M54" s="1285">
        <f t="shared" si="14"/>
        <v>-1.8E-3</v>
      </c>
      <c r="N54" s="1285">
        <f t="shared" si="14"/>
        <v>-3.5999999999999999E-3</v>
      </c>
      <c r="AA54" s="1371"/>
      <c r="AB54" s="1371"/>
      <c r="AC54" s="1371"/>
      <c r="AD54" s="1371"/>
      <c r="AE54" s="1371"/>
      <c r="AF54" s="1371"/>
      <c r="AG54" s="1371"/>
      <c r="AH54" s="1371"/>
      <c r="AI54" s="1371"/>
      <c r="AJ54" s="1371"/>
      <c r="AK54" s="1371"/>
    </row>
    <row r="55" spans="1:37" s="1370" customFormat="1" ht="25.5">
      <c r="A55" s="2870" t="s">
        <v>2957</v>
      </c>
      <c r="B55" s="2867" t="str">
        <f>估价对象房地状况!C22</f>
        <v>估价对象所在区域基础设施水平</v>
      </c>
      <c r="C55" s="2763" t="s">
        <v>3079</v>
      </c>
      <c r="D55" s="1286">
        <f t="shared" si="10"/>
        <v>7.4000000000000003E-3</v>
      </c>
      <c r="E55" s="822"/>
      <c r="F55" s="2494"/>
      <c r="G55" s="1284">
        <v>3.7000000000000002E-3</v>
      </c>
      <c r="H55" s="1288">
        <f t="shared" si="11"/>
        <v>3.7000000000000002E-3</v>
      </c>
      <c r="I55" s="820">
        <v>0.1</v>
      </c>
      <c r="J55" s="1285">
        <f t="shared" si="12"/>
        <v>7.4000000000000003E-3</v>
      </c>
      <c r="K55" s="1285">
        <f t="shared" si="13"/>
        <v>3.7000000000000002E-3</v>
      </c>
      <c r="L55" s="1285">
        <v>0</v>
      </c>
      <c r="M55" s="1285">
        <f t="shared" si="14"/>
        <v>-3.7000000000000002E-3</v>
      </c>
      <c r="N55" s="1285">
        <f t="shared" si="14"/>
        <v>-7.4000000000000003E-3</v>
      </c>
      <c r="AA55" s="1371"/>
      <c r="AB55" s="1371"/>
      <c r="AC55" s="1371"/>
      <c r="AD55" s="1371"/>
      <c r="AE55" s="1371"/>
      <c r="AF55" s="1371"/>
      <c r="AG55" s="1371"/>
      <c r="AH55" s="1371"/>
      <c r="AI55" s="1371"/>
      <c r="AJ55" s="1371"/>
      <c r="AK55" s="1371"/>
    </row>
    <row r="56" spans="1:37" s="1370" customFormat="1" ht="39" thickBot="1">
      <c r="A56" s="2871" t="s">
        <v>2958</v>
      </c>
      <c r="B56" s="2872" t="str">
        <f>估价对象房地状况!C20</f>
        <v>区域自然环境：；人文环境；综合评价环境状况一般</v>
      </c>
      <c r="C56" s="2763" t="s">
        <v>3077</v>
      </c>
      <c r="D56" s="1286">
        <f t="shared" si="10"/>
        <v>2.2000000000000001E-3</v>
      </c>
      <c r="E56" s="825"/>
      <c r="F56" s="2494"/>
      <c r="G56" s="1284">
        <v>2.2000000000000001E-3</v>
      </c>
      <c r="H56" s="1288">
        <f t="shared" si="11"/>
        <v>2.2000000000000001E-3</v>
      </c>
      <c r="I56" s="824">
        <v>0.06</v>
      </c>
      <c r="J56" s="1285">
        <f t="shared" si="12"/>
        <v>4.4000000000000003E-3</v>
      </c>
      <c r="K56" s="1285">
        <f t="shared" si="13"/>
        <v>2.2000000000000001E-3</v>
      </c>
      <c r="L56" s="1285">
        <v>0</v>
      </c>
      <c r="M56" s="1285">
        <f t="shared" si="14"/>
        <v>-2.2000000000000001E-3</v>
      </c>
      <c r="N56" s="1285">
        <f t="shared" si="14"/>
        <v>-4.4000000000000003E-3</v>
      </c>
      <c r="AA56" s="1371"/>
      <c r="AB56" s="1371"/>
      <c r="AC56" s="1371"/>
      <c r="AD56" s="1371"/>
      <c r="AE56" s="1371"/>
      <c r="AF56" s="1371"/>
      <c r="AG56" s="1371"/>
      <c r="AH56" s="1371"/>
      <c r="AI56" s="1371"/>
      <c r="AJ56" s="1371"/>
      <c r="AK56" s="1371"/>
    </row>
    <row r="57" spans="1:37" s="1370" customFormat="1" ht="15">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2940</v>
      </c>
      <c r="B58" s="2961"/>
      <c r="C58" s="2961" t="s">
        <v>2942</v>
      </c>
      <c r="D58" s="2961" t="s">
        <v>2943</v>
      </c>
      <c r="E58" s="819" t="s">
        <v>2944</v>
      </c>
      <c r="F58" s="2864" t="s">
        <v>2960</v>
      </c>
      <c r="G58" s="2961" t="s">
        <v>754</v>
      </c>
      <c r="H58" s="2865" t="s">
        <v>2946</v>
      </c>
      <c r="I58" s="2961"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2940</v>
      </c>
      <c r="B69" s="2961"/>
      <c r="C69" s="2961" t="s">
        <v>2942</v>
      </c>
      <c r="D69" s="2961" t="s">
        <v>2943</v>
      </c>
      <c r="E69" s="819" t="s">
        <v>2944</v>
      </c>
      <c r="F69" s="2864" t="s">
        <v>2960</v>
      </c>
      <c r="G69" s="2961" t="s">
        <v>754</v>
      </c>
      <c r="H69" s="2865" t="s">
        <v>2946</v>
      </c>
      <c r="I69" s="2961"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2966</v>
      </c>
      <c r="B79" s="2860">
        <f>1+E81</f>
        <v>1</v>
      </c>
      <c r="C79" s="814"/>
      <c r="D79" s="814"/>
      <c r="E79" s="815"/>
      <c r="F79" s="2862"/>
      <c r="G79" s="6"/>
      <c r="H79" s="6"/>
      <c r="I79" s="6"/>
      <c r="J79" s="7"/>
      <c r="K79" s="7"/>
      <c r="L79" s="7"/>
      <c r="M79" s="7"/>
      <c r="N79" s="7"/>
      <c r="Z79" s="2713"/>
      <c r="AA79" s="2781"/>
      <c r="AG79" s="1372"/>
      <c r="AK79" s="2781"/>
    </row>
    <row r="80" spans="1:37" ht="24.75">
      <c r="A80" s="2863" t="s">
        <v>2940</v>
      </c>
      <c r="B80" s="2961"/>
      <c r="C80" s="2961" t="s">
        <v>2942</v>
      </c>
      <c r="D80" s="2961" t="s">
        <v>2943</v>
      </c>
      <c r="E80" s="819" t="s">
        <v>2944</v>
      </c>
      <c r="F80" s="2864" t="s">
        <v>2960</v>
      </c>
      <c r="G80" s="2961" t="s">
        <v>754</v>
      </c>
      <c r="H80" s="2865" t="s">
        <v>2946</v>
      </c>
      <c r="I80" s="2961" t="s">
        <v>2947</v>
      </c>
      <c r="J80" s="603" t="s">
        <v>2597</v>
      </c>
      <c r="K80" s="603" t="s">
        <v>2598</v>
      </c>
      <c r="L80" s="603" t="s">
        <v>2599</v>
      </c>
      <c r="M80" s="603" t="s">
        <v>2600</v>
      </c>
      <c r="N80" s="603" t="s">
        <v>2601</v>
      </c>
      <c r="Z80" s="2713"/>
      <c r="AA80" s="2781"/>
      <c r="AG80" s="1372"/>
      <c r="AK80" s="2781"/>
    </row>
    <row r="81" spans="1:37" ht="38.25">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76" t="s">
        <v>2970</v>
      </c>
      <c r="B90" s="3276"/>
      <c r="C90" s="3276"/>
      <c r="D90" s="3276"/>
      <c r="E90" s="3276"/>
      <c r="F90" s="3276"/>
      <c r="G90" s="3276"/>
      <c r="H90" s="3276"/>
      <c r="I90" s="3276"/>
      <c r="J90" s="3276"/>
      <c r="K90" s="2966"/>
      <c r="L90" s="2966"/>
      <c r="M90" s="2966"/>
      <c r="N90" s="2966"/>
    </row>
    <row r="91" spans="1:37">
      <c r="A91" s="3278" t="s">
        <v>2971</v>
      </c>
      <c r="B91" s="3278" t="s">
        <v>2972</v>
      </c>
      <c r="C91" s="2831" t="s">
        <v>2973</v>
      </c>
      <c r="D91" s="2832"/>
      <c r="E91" s="2832"/>
      <c r="F91" s="2832"/>
      <c r="G91" s="2832"/>
      <c r="H91" s="2832"/>
      <c r="I91" s="2832"/>
      <c r="J91" s="2878"/>
      <c r="K91" s="2879"/>
      <c r="L91" s="2879"/>
      <c r="M91" s="2879"/>
      <c r="N91" s="2879"/>
    </row>
    <row r="92" spans="1:37">
      <c r="A92" s="3278"/>
      <c r="B92" s="3278"/>
      <c r="C92" s="2968" t="s">
        <v>2840</v>
      </c>
      <c r="D92" s="2968" t="s">
        <v>2841</v>
      </c>
      <c r="E92" s="2968" t="s">
        <v>2842</v>
      </c>
      <c r="F92" s="2968" t="s">
        <v>2843</v>
      </c>
      <c r="G92" s="2968" t="s">
        <v>2844</v>
      </c>
      <c r="H92" s="2968" t="s">
        <v>2845</v>
      </c>
      <c r="I92" s="2968" t="s">
        <v>2846</v>
      </c>
      <c r="J92" s="2968" t="s">
        <v>2847</v>
      </c>
      <c r="K92" s="2968" t="s">
        <v>2848</v>
      </c>
      <c r="L92" s="2968" t="s">
        <v>2849</v>
      </c>
      <c r="M92" s="2968" t="s">
        <v>2850</v>
      </c>
      <c r="N92" s="2968" t="s">
        <v>2851</v>
      </c>
    </row>
    <row r="93" spans="1:37">
      <c r="A93" s="3279"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0"/>
      <c r="B99" s="2880" t="s">
        <v>2856</v>
      </c>
      <c r="C99" s="2882">
        <f>$I$3</f>
        <v>3</v>
      </c>
      <c r="D99" s="2882">
        <f t="shared" ref="D99:M99" si="30">$I$3</f>
        <v>3</v>
      </c>
      <c r="E99" s="2882">
        <f t="shared" si="30"/>
        <v>3</v>
      </c>
      <c r="F99" s="2882">
        <f t="shared" si="30"/>
        <v>3</v>
      </c>
      <c r="G99" s="2882">
        <f t="shared" si="30"/>
        <v>3</v>
      </c>
      <c r="H99" s="2882">
        <f t="shared" si="30"/>
        <v>3</v>
      </c>
      <c r="I99" s="2882">
        <f t="shared" si="30"/>
        <v>3</v>
      </c>
      <c r="J99" s="2882">
        <f t="shared" si="30"/>
        <v>3</v>
      </c>
      <c r="K99" s="2882">
        <f t="shared" si="30"/>
        <v>3</v>
      </c>
      <c r="L99" s="2882">
        <f t="shared" si="30"/>
        <v>3</v>
      </c>
      <c r="M99" s="2882">
        <f t="shared" si="30"/>
        <v>3</v>
      </c>
      <c r="N99" s="2882">
        <f>$I$3</f>
        <v>3</v>
      </c>
    </row>
    <row r="100" spans="1:14">
      <c r="A100" s="3281"/>
      <c r="B100" s="2880">
        <v>7</v>
      </c>
      <c r="C100" s="2883">
        <f>(-0.163*(C99^2)-0.59*C99+7617)*(10^(-4))</f>
        <v>0.76137630000000001</v>
      </c>
      <c r="D100" s="2883">
        <f>(-0.163*(D99^2)-0.59*D99+7617)*(10^(-4))</f>
        <v>0.76137630000000001</v>
      </c>
      <c r="E100" s="2883">
        <f>(-0.161*(E99^2)-7.509*E99+6533)*(10^(-4))</f>
        <v>0.6509024000000001</v>
      </c>
      <c r="F100" s="2883">
        <f>(-0.161*(F99^2)-7.509*F99+6533)*(10^(-4))</f>
        <v>0.6509024000000001</v>
      </c>
      <c r="G100" s="2883">
        <f>(-0.161*(G99^2)-7.509*G99+6533)*(10^(-4))</f>
        <v>0.6509024000000001</v>
      </c>
      <c r="H100" s="2883">
        <f>(-0.161*(H99^2)-7.509*H99+6533)*(10^(-4))</f>
        <v>0.6509024000000001</v>
      </c>
      <c r="I100" s="2883">
        <f>(-0.161*(I99^2)-7.509*I99+6533)*(10^(-4))</f>
        <v>0.6509024000000001</v>
      </c>
      <c r="J100" s="2883">
        <f>(-0.214*(J99^2)-21.991*J99+4665)*(10^(-4))</f>
        <v>0.45971010000000001</v>
      </c>
      <c r="K100" s="2883">
        <f>(-0.214*(K99^2)-21.991*K99+4665)*(10^(-4))</f>
        <v>0.45971010000000001</v>
      </c>
      <c r="L100" s="2883">
        <f>(-0.214*(L99^2)-21.991*L99+4665)*(10^(-4))</f>
        <v>0.45971010000000001</v>
      </c>
      <c r="M100" s="2883">
        <f>(-0.214*(M99^2)-21.991*M99+4665)*(10^(-4))</f>
        <v>0.45971010000000001</v>
      </c>
      <c r="N100" s="2883">
        <f>(-0.214*(N99^2)-21.991*N99+4665)*(10^(-4))</f>
        <v>0.45971010000000001</v>
      </c>
    </row>
    <row r="101" spans="1:14">
      <c r="A101" s="3279" t="s">
        <v>2975</v>
      </c>
      <c r="B101" s="2884" t="s">
        <v>2976</v>
      </c>
      <c r="C101" s="2885">
        <f>$G$3</f>
        <v>2.5</v>
      </c>
      <c r="D101" s="2885">
        <f t="shared" ref="D101:N101" si="31">$G$3</f>
        <v>2.5</v>
      </c>
      <c r="E101" s="2885">
        <f t="shared" si="31"/>
        <v>2.5</v>
      </c>
      <c r="F101" s="2885">
        <f t="shared" si="31"/>
        <v>2.5</v>
      </c>
      <c r="G101" s="2885">
        <f t="shared" si="31"/>
        <v>2.5</v>
      </c>
      <c r="H101" s="2885">
        <f t="shared" si="31"/>
        <v>2.5</v>
      </c>
      <c r="I101" s="2885">
        <f t="shared" si="31"/>
        <v>2.5</v>
      </c>
      <c r="J101" s="2885">
        <f t="shared" si="31"/>
        <v>2.5</v>
      </c>
      <c r="K101" s="2885">
        <f t="shared" si="31"/>
        <v>2.5</v>
      </c>
      <c r="L101" s="2885">
        <f t="shared" si="31"/>
        <v>2.5</v>
      </c>
      <c r="M101" s="2885">
        <f t="shared" si="31"/>
        <v>2.5</v>
      </c>
      <c r="N101" s="2885">
        <f t="shared" si="31"/>
        <v>2.5</v>
      </c>
    </row>
    <row r="102" spans="1:14">
      <c r="A102" s="3280"/>
      <c r="B102" s="2880">
        <v>1</v>
      </c>
      <c r="C102" s="2881">
        <f>1.9362/C101</f>
        <v>0.77447999999999995</v>
      </c>
      <c r="D102" s="2881">
        <f>1.9362/D101</f>
        <v>0.77447999999999995</v>
      </c>
      <c r="E102" s="2881">
        <f>1.8629/E101</f>
        <v>0.74516000000000004</v>
      </c>
      <c r="F102" s="2881">
        <f>1.8629/F101</f>
        <v>0.74516000000000004</v>
      </c>
      <c r="G102" s="2881">
        <f>1.8629/G101</f>
        <v>0.74516000000000004</v>
      </c>
      <c r="H102" s="2881">
        <f>1.8629/H101</f>
        <v>0.74516000000000004</v>
      </c>
      <c r="I102" s="2881">
        <f>1.8629/I101</f>
        <v>0.74516000000000004</v>
      </c>
      <c r="J102" s="2881">
        <f>1.942/J101</f>
        <v>0.77679999999999993</v>
      </c>
      <c r="K102" s="2881">
        <f>1.942/K101</f>
        <v>0.77679999999999993</v>
      </c>
      <c r="L102" s="2881">
        <f>1.942/L101</f>
        <v>0.77679999999999993</v>
      </c>
      <c r="M102" s="2881">
        <f>1.942/M101</f>
        <v>0.77679999999999993</v>
      </c>
      <c r="N102" s="2881">
        <f>1.942/N101</f>
        <v>0.77679999999999993</v>
      </c>
    </row>
    <row r="103" spans="1:14">
      <c r="A103" s="3280"/>
      <c r="B103" s="2880">
        <v>2</v>
      </c>
      <c r="C103" s="2881">
        <f>1.4198/C101</f>
        <v>0.56791999999999998</v>
      </c>
      <c r="D103" s="2881">
        <f>1.4198/D101</f>
        <v>0.56791999999999998</v>
      </c>
      <c r="E103" s="2881">
        <f>1.3372/E101</f>
        <v>0.53488000000000002</v>
      </c>
      <c r="F103" s="2881">
        <f>1.3372/F101</f>
        <v>0.53488000000000002</v>
      </c>
      <c r="G103" s="2881">
        <f>1.3372/G101</f>
        <v>0.53488000000000002</v>
      </c>
      <c r="H103" s="2881">
        <f>1.3372/H101</f>
        <v>0.53488000000000002</v>
      </c>
      <c r="I103" s="2881">
        <f>1.3372/I101</f>
        <v>0.53488000000000002</v>
      </c>
      <c r="J103" s="2881">
        <f>1.2799/J101</f>
        <v>0.51195999999999997</v>
      </c>
      <c r="K103" s="2881">
        <f>1.2799/K101</f>
        <v>0.51195999999999997</v>
      </c>
      <c r="L103" s="2881">
        <f>1.2799/L101</f>
        <v>0.51195999999999997</v>
      </c>
      <c r="M103" s="2881">
        <f>1.2799/M101</f>
        <v>0.51195999999999997</v>
      </c>
      <c r="N103" s="2881">
        <f>1.2799/N101</f>
        <v>0.51195999999999997</v>
      </c>
    </row>
    <row r="104" spans="1:14">
      <c r="A104" s="3280"/>
      <c r="B104" s="2880">
        <v>3</v>
      </c>
      <c r="C104" s="2881">
        <f>1.1594/C101</f>
        <v>0.46376000000000001</v>
      </c>
      <c r="D104" s="2881">
        <f>1.1594/D101</f>
        <v>0.46376000000000001</v>
      </c>
      <c r="E104" s="2881">
        <f>1.0788/E101</f>
        <v>0.43152000000000001</v>
      </c>
      <c r="F104" s="2881">
        <f>1.0788/F101</f>
        <v>0.43152000000000001</v>
      </c>
      <c r="G104" s="2881">
        <f>1.0788/G101</f>
        <v>0.43152000000000001</v>
      </c>
      <c r="H104" s="2881">
        <f>1.0788/H101</f>
        <v>0.43152000000000001</v>
      </c>
      <c r="I104" s="2881">
        <f>1.0788/I101</f>
        <v>0.43152000000000001</v>
      </c>
      <c r="J104" s="2881">
        <f>1.0072/J101</f>
        <v>0.40288000000000002</v>
      </c>
      <c r="K104" s="2881">
        <f>1.0072/K101</f>
        <v>0.40288000000000002</v>
      </c>
      <c r="L104" s="2881">
        <f>1.0072/L101</f>
        <v>0.40288000000000002</v>
      </c>
      <c r="M104" s="2881">
        <f>1.0072/M101</f>
        <v>0.40288000000000002</v>
      </c>
      <c r="N104" s="2881">
        <f>1.0072/N101</f>
        <v>0.40288000000000002</v>
      </c>
    </row>
    <row r="105" spans="1:14">
      <c r="A105" s="3280"/>
      <c r="B105" s="2880">
        <v>4</v>
      </c>
      <c r="C105" s="2881">
        <f>0.9622/C101</f>
        <v>0.38488</v>
      </c>
      <c r="D105" s="2881">
        <f>0.9622/D101</f>
        <v>0.38488</v>
      </c>
      <c r="E105" s="2881">
        <f>0.8656/E101</f>
        <v>0.34623999999999999</v>
      </c>
      <c r="F105" s="2881">
        <f>0.8656/F101</f>
        <v>0.34623999999999999</v>
      </c>
      <c r="G105" s="2881">
        <f>0.8656/G101</f>
        <v>0.34623999999999999</v>
      </c>
      <c r="H105" s="2881">
        <f>0.8656/H101</f>
        <v>0.34623999999999999</v>
      </c>
      <c r="I105" s="2881">
        <f>0.8656/I101</f>
        <v>0.34623999999999999</v>
      </c>
      <c r="J105" s="2881">
        <f>0.7525/J101</f>
        <v>0.30099999999999999</v>
      </c>
      <c r="K105" s="2881">
        <f>0.7525/K101</f>
        <v>0.30099999999999999</v>
      </c>
      <c r="L105" s="2881">
        <f>0.7525/L101</f>
        <v>0.30099999999999999</v>
      </c>
      <c r="M105" s="2881">
        <f>0.7525/M101</f>
        <v>0.30099999999999999</v>
      </c>
      <c r="N105" s="2881">
        <f>0.7525/N101</f>
        <v>0.30099999999999999</v>
      </c>
    </row>
    <row r="106" spans="1:14">
      <c r="A106" s="3280"/>
      <c r="B106" s="2880">
        <v>5</v>
      </c>
      <c r="C106" s="2881">
        <f>0.8417/C101</f>
        <v>0.33667999999999998</v>
      </c>
      <c r="D106" s="2881">
        <f>0.8417/D101</f>
        <v>0.33667999999999998</v>
      </c>
      <c r="E106" s="2881">
        <f>0.7371/E101</f>
        <v>0.29483999999999999</v>
      </c>
      <c r="F106" s="2881">
        <f>0.7371/F101</f>
        <v>0.29483999999999999</v>
      </c>
      <c r="G106" s="2881">
        <f>0.7371/G101</f>
        <v>0.29483999999999999</v>
      </c>
      <c r="H106" s="2881">
        <f>0.7371/H101</f>
        <v>0.29483999999999999</v>
      </c>
      <c r="I106" s="2881">
        <f>0.7371/I101</f>
        <v>0.29483999999999999</v>
      </c>
      <c r="J106" s="2881">
        <f>0.5659/J101</f>
        <v>0.22635999999999998</v>
      </c>
      <c r="K106" s="2881">
        <f>0.5659/K101</f>
        <v>0.22635999999999998</v>
      </c>
      <c r="L106" s="2881">
        <f>0.5659/L101</f>
        <v>0.22635999999999998</v>
      </c>
      <c r="M106" s="2881">
        <f>0.5659/M101</f>
        <v>0.22635999999999998</v>
      </c>
      <c r="N106" s="2881">
        <f>0.5659/N101</f>
        <v>0.22635999999999998</v>
      </c>
    </row>
    <row r="107" spans="1:14">
      <c r="A107" s="3280"/>
      <c r="B107" s="2880">
        <v>6</v>
      </c>
      <c r="C107" s="2881">
        <f>0.7608/C101</f>
        <v>0.30432000000000003</v>
      </c>
      <c r="D107" s="2881">
        <f>0.7608/D101</f>
        <v>0.30432000000000003</v>
      </c>
      <c r="E107" s="2881">
        <f>0.6482/E101</f>
        <v>0.25928000000000001</v>
      </c>
      <c r="F107" s="2881">
        <f>0.6482/F101</f>
        <v>0.25928000000000001</v>
      </c>
      <c r="G107" s="2881">
        <f>0.6482/G101</f>
        <v>0.25928000000000001</v>
      </c>
      <c r="H107" s="2881">
        <f>0.6482/H101</f>
        <v>0.25928000000000001</v>
      </c>
      <c r="I107" s="2881">
        <f>0.6482/I101</f>
        <v>0.25928000000000001</v>
      </c>
      <c r="J107" s="2881">
        <f>0.4525/J101</f>
        <v>0.18099999999999999</v>
      </c>
      <c r="K107" s="2881">
        <f>0.4525/K101</f>
        <v>0.18099999999999999</v>
      </c>
      <c r="L107" s="2881">
        <f>0.4525/L101</f>
        <v>0.18099999999999999</v>
      </c>
      <c r="M107" s="2881">
        <f>0.4525/M101</f>
        <v>0.18099999999999999</v>
      </c>
      <c r="N107" s="2881">
        <f>0.4525/N101</f>
        <v>0.18099999999999999</v>
      </c>
    </row>
    <row r="108" spans="1:14">
      <c r="A108" s="3280"/>
      <c r="B108" s="3138" t="s">
        <v>2869</v>
      </c>
      <c r="C108" s="2882">
        <f>C99</f>
        <v>3</v>
      </c>
      <c r="D108" s="2882">
        <f t="shared" ref="D108:N108" si="32">D99</f>
        <v>3</v>
      </c>
      <c r="E108" s="2882">
        <f t="shared" si="32"/>
        <v>3</v>
      </c>
      <c r="F108" s="2882">
        <f t="shared" si="32"/>
        <v>3</v>
      </c>
      <c r="G108" s="2882">
        <f t="shared" si="32"/>
        <v>3</v>
      </c>
      <c r="H108" s="2882">
        <f t="shared" si="32"/>
        <v>3</v>
      </c>
      <c r="I108" s="2882">
        <f t="shared" si="32"/>
        <v>3</v>
      </c>
      <c r="J108" s="2882">
        <f t="shared" si="32"/>
        <v>3</v>
      </c>
      <c r="K108" s="2882">
        <f t="shared" si="32"/>
        <v>3</v>
      </c>
      <c r="L108" s="2882">
        <f t="shared" si="32"/>
        <v>3</v>
      </c>
      <c r="M108" s="2882">
        <f t="shared" si="32"/>
        <v>3</v>
      </c>
      <c r="N108" s="2882">
        <f t="shared" si="32"/>
        <v>3</v>
      </c>
    </row>
    <row r="109" spans="1:14">
      <c r="A109" s="3281"/>
      <c r="B109" s="3139"/>
      <c r="C109" s="2883">
        <f>(-0.163*(C108^2)-0.59*C108+7617)*(10^(-4))/C101</f>
        <v>0.30455051999999999</v>
      </c>
      <c r="D109" s="2883">
        <f>(-0.163*(D108^2)-0.59*D108+7617)*(10^(-4))/D101</f>
        <v>0.30455051999999999</v>
      </c>
      <c r="E109" s="2883">
        <f>(-0.161*(E108^2)-7.509*E108+6533)*(10^(-4))/E101</f>
        <v>0.26036096000000003</v>
      </c>
      <c r="F109" s="2883">
        <f>(-0.161*(F108^2)-7.509*F108+6533)*(10^(-4))/F101</f>
        <v>0.26036096000000003</v>
      </c>
      <c r="G109" s="2883">
        <f>(-0.161*(G108^2)-7.509*G108+6533)*(10^(-4))/G101</f>
        <v>0.26036096000000003</v>
      </c>
      <c r="H109" s="2883">
        <f>(-0.161*(H108^2)-7.509*H108+6533)*(10^(-4))/H101</f>
        <v>0.26036096000000003</v>
      </c>
      <c r="I109" s="2883">
        <f>(-0.161*(I108^2)-7.509*I108+6533)*(10^(-4))/I101</f>
        <v>0.26036096000000003</v>
      </c>
      <c r="J109" s="2883">
        <f>(-0.214*(J108^2)-21.991*J108+4665)*(10^(-4))/J101</f>
        <v>0.18388404</v>
      </c>
      <c r="K109" s="2883">
        <f>(-0.214*(K108^2)-21.991*K108+4665)*(10^(-4))/K101</f>
        <v>0.18388404</v>
      </c>
      <c r="L109" s="2883">
        <f>(-0.214*(L108^2)-21.991*L108+4665)*(10^(-4))/L101</f>
        <v>0.18388404</v>
      </c>
      <c r="M109" s="2883">
        <f>(-0.214*(M108^2)-21.991*M108+4665)*(10^(-4))/M101</f>
        <v>0.18388404</v>
      </c>
      <c r="N109" s="2883">
        <f>(-0.214*(N108^2)-21.991*N108+4665)*(10^(-4))/N101</f>
        <v>0.18388404</v>
      </c>
    </row>
    <row r="110" spans="1:14">
      <c r="A110" s="3277" t="s">
        <v>2978</v>
      </c>
      <c r="B110" s="3277"/>
      <c r="C110" s="3277"/>
      <c r="D110" s="3277"/>
      <c r="E110" s="3277"/>
      <c r="F110" s="3277"/>
      <c r="G110" s="3277"/>
      <c r="H110" s="3277"/>
      <c r="I110" s="3277"/>
      <c r="J110" s="3277"/>
      <c r="K110" s="2967"/>
      <c r="L110" s="2967"/>
      <c r="M110" s="2967"/>
      <c r="N110" s="2967"/>
    </row>
    <row r="112" spans="1:14" ht="13.5" thickBot="1"/>
    <row r="113" spans="1:13" ht="25.5" thickBot="1">
      <c r="A113" s="903" t="s">
        <v>2979</v>
      </c>
      <c r="B113" s="1287">
        <f>G3</f>
        <v>2.5</v>
      </c>
      <c r="C113" s="904" t="s">
        <v>2980</v>
      </c>
      <c r="D113" s="905">
        <f>SUMPRODUCT((A115:A118=F113)*(B114:M114=H113)*B115:M118)</f>
        <v>0.80589999999999995</v>
      </c>
      <c r="E113" s="2717" t="s">
        <v>2814</v>
      </c>
      <c r="F113" s="2888" t="str">
        <f>E2</f>
        <v>商业</v>
      </c>
      <c r="G113" s="2717" t="s">
        <v>2815</v>
      </c>
      <c r="H113" s="2888" t="str">
        <f>G2</f>
        <v>四级</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2879</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2880</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C4" sqref="C4"/>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3000</v>
      </c>
    </row>
    <row r="2" spans="1:5" ht="15.75">
      <c r="A2" s="2895" t="s">
        <v>2993</v>
      </c>
      <c r="B2" s="2896">
        <f ca="1">SUMIF(B6:B13,"&lt;&gt;#ref!",B6:B13)</f>
        <v>21569</v>
      </c>
      <c r="C2" s="2895" t="s">
        <v>2994</v>
      </c>
      <c r="D2" s="2895" t="s">
        <v>2995</v>
      </c>
      <c r="E2" s="2896">
        <f ca="1">SUMIF(E6:E13,"&lt;&gt;#ref!",E6:E13)</f>
        <v>7400</v>
      </c>
    </row>
    <row r="3" spans="1:5" ht="15.75">
      <c r="A3" s="2895" t="s">
        <v>2996</v>
      </c>
      <c r="B3" s="2896">
        <f ca="1">ROUND(B2*10000/E2,0)</f>
        <v>29147</v>
      </c>
      <c r="C3" s="2895" t="s">
        <v>3001</v>
      </c>
      <c r="D3" s="2897"/>
      <c r="E3" s="2897"/>
    </row>
    <row r="4" spans="1:5" ht="15.75">
      <c r="A4" s="2898"/>
      <c r="B4" s="2897"/>
      <c r="C4" s="2897"/>
      <c r="D4" s="2897"/>
      <c r="E4" s="2897"/>
    </row>
    <row r="5" spans="1:5" ht="28.5">
      <c r="A5" s="2899" t="s">
        <v>2997</v>
      </c>
      <c r="B5" s="2895" t="s">
        <v>2998</v>
      </c>
      <c r="C5" s="2896"/>
      <c r="D5" s="2897"/>
      <c r="E5" s="2895" t="s">
        <v>2999</v>
      </c>
    </row>
    <row r="6" spans="1:5" ht="15.75">
      <c r="A6" s="2900" t="s">
        <v>3087</v>
      </c>
      <c r="B6" s="2896">
        <f ca="1">SUMIF(INDIRECT("'"&amp;A6&amp;"'"&amp;"!A:A"),"总价",INDIRECT("'"&amp;A6&amp;"'"&amp;"!B:B"))</f>
        <v>9290</v>
      </c>
      <c r="C6" s="2895" t="s">
        <v>2994</v>
      </c>
      <c r="D6" s="2897"/>
      <c r="E6" s="2568">
        <f ca="1">SUMIF(INDIRECT("'"&amp;A6&amp;"'"&amp;"!C:C"),"建筑面积",INDIRECT("'"&amp;A6&amp;"'"&amp;"!D:D"))</f>
        <v>2900</v>
      </c>
    </row>
    <row r="7" spans="1:5" ht="15.75">
      <c r="A7" s="2900" t="s">
        <v>3089</v>
      </c>
      <c r="B7" s="2896">
        <f ca="1">SUMIF(INDIRECT("'"&amp;A7&amp;"'"&amp;"!A:A"),"总价",INDIRECT("'"&amp;A7&amp;"'"&amp;"!B:B"))</f>
        <v>8497</v>
      </c>
      <c r="C7" s="2895" t="s">
        <v>2994</v>
      </c>
      <c r="D7" s="2897"/>
      <c r="E7" s="2568">
        <f t="shared" ref="E7:E13" ca="1" si="0">SUMIF(INDIRECT("'"&amp;A7&amp;"'"&amp;"!C:C"),"建筑面积",INDIRECT("'"&amp;A7&amp;"'"&amp;"!D:D"))</f>
        <v>2900</v>
      </c>
    </row>
    <row r="8" spans="1:5" ht="15.75">
      <c r="A8" s="2900" t="s">
        <v>3091</v>
      </c>
      <c r="B8" s="2896">
        <f t="shared" ref="B8:B13" ca="1" si="1">SUMIF(INDIRECT("'"&amp;A8&amp;"'"&amp;"!A:A"),"总价",INDIRECT("'"&amp;A8&amp;"'"&amp;"!B:B"))</f>
        <v>3782</v>
      </c>
      <c r="C8" s="2895" t="s">
        <v>2994</v>
      </c>
      <c r="D8" s="2897"/>
      <c r="E8" s="2568">
        <f t="shared" ca="1" si="0"/>
        <v>1600</v>
      </c>
    </row>
    <row r="9" spans="1:5" ht="15.75">
      <c r="A9" s="2900"/>
      <c r="B9" s="2896" t="e">
        <f t="shared" ca="1" si="1"/>
        <v>#REF!</v>
      </c>
      <c r="C9" s="2895" t="s">
        <v>2994</v>
      </c>
      <c r="D9" s="2897"/>
      <c r="E9" s="2568" t="e">
        <f t="shared" ca="1" si="0"/>
        <v>#REF!</v>
      </c>
    </row>
    <row r="10" spans="1:5" ht="15.75">
      <c r="A10" s="2900"/>
      <c r="B10" s="2896" t="e">
        <f t="shared" ca="1" si="1"/>
        <v>#REF!</v>
      </c>
      <c r="C10" s="2895" t="s">
        <v>2994</v>
      </c>
      <c r="D10" s="2897"/>
      <c r="E10" s="2568" t="e">
        <f t="shared" ca="1" si="0"/>
        <v>#REF!</v>
      </c>
    </row>
    <row r="11" spans="1:5" ht="15.75">
      <c r="A11" s="2900"/>
      <c r="B11" s="2896" t="e">
        <f t="shared" ca="1" si="1"/>
        <v>#REF!</v>
      </c>
      <c r="C11" s="2895" t="s">
        <v>2994</v>
      </c>
      <c r="D11" s="2897"/>
      <c r="E11" s="2568" t="e">
        <f t="shared" ca="1" si="0"/>
        <v>#REF!</v>
      </c>
    </row>
    <row r="12" spans="1:5" ht="15.75">
      <c r="A12" s="2900"/>
      <c r="B12" s="2896" t="e">
        <f t="shared" ca="1" si="1"/>
        <v>#REF!</v>
      </c>
      <c r="C12" s="2895" t="s">
        <v>2994</v>
      </c>
      <c r="D12" s="2897"/>
      <c r="E12" s="2568" t="e">
        <f t="shared" ca="1" si="0"/>
        <v>#REF!</v>
      </c>
    </row>
    <row r="13" spans="1:5" ht="15.75">
      <c r="A13" s="2900"/>
      <c r="B13" s="2896" t="e">
        <f t="shared" ca="1" si="1"/>
        <v>#REF!</v>
      </c>
      <c r="C13" s="2895" t="s">
        <v>2994</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估价结果一览表（市场价值不需“结果表-1”）</v>
      </c>
      <c r="B3" s="2982"/>
      <c r="C3" s="2982"/>
      <c r="D3" s="2982"/>
      <c r="E3" s="2982"/>
    </row>
    <row r="4" spans="1:5" ht="19.5" thickBot="1">
      <c r="A4" s="1952"/>
      <c r="B4" s="2980" t="s">
        <v>1624</v>
      </c>
      <c r="C4" s="2980"/>
      <c r="D4" s="2980"/>
      <c r="E4" s="1952"/>
    </row>
    <row r="5" spans="1:5" ht="16.5" thickTop="1">
      <c r="A5" s="1950"/>
      <c r="B5" s="2978" t="s">
        <v>1616</v>
      </c>
      <c r="C5" s="1953" t="s">
        <v>1617</v>
      </c>
      <c r="D5" s="1040">
        <f ca="1">结果表!H101</f>
        <v>31500</v>
      </c>
      <c r="E5" s="1950"/>
    </row>
    <row r="6" spans="1:5" ht="15.75">
      <c r="A6" s="1950"/>
      <c r="B6" s="2978"/>
      <c r="C6" s="1953" t="s">
        <v>1618</v>
      </c>
      <c r="D6" s="1040" t="str">
        <f ca="1">NUMBERSTRING(INT(D5*10000),2)&amp;"元整"</f>
        <v>叁亿壹仟伍佰万元整</v>
      </c>
      <c r="E6" s="1950"/>
    </row>
    <row r="7" spans="1:5" ht="15.75">
      <c r="A7" s="1950"/>
      <c r="B7" s="2983"/>
      <c r="C7" s="1954" t="s">
        <v>1619</v>
      </c>
      <c r="D7" s="1041">
        <f ca="1">结果表!H102</f>
        <v>42568</v>
      </c>
      <c r="E7" s="1950"/>
    </row>
    <row r="8" spans="1:5" ht="15.75">
      <c r="A8" s="1950"/>
      <c r="B8" s="2984" t="str">
        <f>结果表!E103</f>
        <v>2.估价师知悉的法定优先受偿款</v>
      </c>
      <c r="C8" s="1955" t="s">
        <v>1620</v>
      </c>
      <c r="D8" s="1041">
        <f>结果表!H103</f>
        <v>0</v>
      </c>
      <c r="E8" s="1950"/>
    </row>
    <row r="9" spans="1:5" ht="15.75">
      <c r="A9" s="1950"/>
      <c r="B9" s="2986"/>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77" t="str">
        <f>结果表!E107</f>
        <v>3.房地产抵押价值</v>
      </c>
      <c r="C13" s="1958" t="s">
        <v>1617</v>
      </c>
      <c r="D13" s="1043">
        <f ca="1">结果表!H107</f>
        <v>31500</v>
      </c>
      <c r="E13" s="1950"/>
    </row>
    <row r="14" spans="1:5" ht="15.75">
      <c r="A14" s="1950"/>
      <c r="B14" s="2978"/>
      <c r="C14" s="1953" t="s">
        <v>1618</v>
      </c>
      <c r="D14" s="1040" t="str">
        <f ca="1">NUMBERSTRING(INT(D13*10000),2)&amp;"元整"</f>
        <v>叁亿壹仟伍佰万元整</v>
      </c>
      <c r="E14" s="1950"/>
    </row>
    <row r="15" spans="1:5" ht="15">
      <c r="A15" s="1950"/>
      <c r="B15" s="2983"/>
      <c r="C15" s="1954" t="s">
        <v>1628</v>
      </c>
      <c r="D15" s="1052">
        <f ca="1">结果表!H108</f>
        <v>42568</v>
      </c>
      <c r="E15" s="1950"/>
    </row>
    <row r="16" spans="1:5" ht="15">
      <c r="A16" s="1950"/>
      <c r="B16" s="2984" t="str">
        <f>结果表!E109</f>
        <v>——</v>
      </c>
      <c r="C16" s="1958" t="s">
        <v>1629</v>
      </c>
      <c r="D16" s="1959" t="str">
        <f>结果表!H109</f>
        <v>——</v>
      </c>
      <c r="E16" s="1950"/>
    </row>
    <row r="17" spans="1:5" ht="15.75">
      <c r="A17" s="1950"/>
      <c r="B17" s="2985"/>
      <c r="C17" s="1953" t="s">
        <v>1630</v>
      </c>
      <c r="D17" s="1040" t="e">
        <f>NUMBERSTRING(INT(D16*10000),2)&amp;"元整"</f>
        <v>#VALUE!</v>
      </c>
      <c r="E17" s="1950"/>
    </row>
    <row r="18" spans="1:5" ht="15">
      <c r="A18" s="1950"/>
      <c r="B18" s="2986"/>
      <c r="C18" s="1954" t="s">
        <v>1619</v>
      </c>
      <c r="D18" s="1052" t="str">
        <f>结果表!H110</f>
        <v>——</v>
      </c>
      <c r="E18" s="1950"/>
    </row>
    <row r="19" spans="1:5" ht="15.75">
      <c r="A19" s="1950"/>
      <c r="B19" s="2977" t="str">
        <f>结果表!E111</f>
        <v>——</v>
      </c>
      <c r="C19" s="1958" t="s">
        <v>1617</v>
      </c>
      <c r="D19" s="1041" t="str">
        <f>结果表!H111</f>
        <v>——</v>
      </c>
      <c r="E19" s="1950"/>
    </row>
    <row r="20" spans="1:5" ht="15.75">
      <c r="A20" s="1950"/>
      <c r="B20" s="2978"/>
      <c r="C20" s="1953" t="s">
        <v>1630</v>
      </c>
      <c r="D20" s="1040" t="e">
        <f>NUMBERSTRING(INT(D19*10000),2)&amp;"元整"</f>
        <v>#VALUE!</v>
      </c>
      <c r="E20" s="1950"/>
    </row>
    <row r="21" spans="1:5" ht="15.75" thickBot="1">
      <c r="A21" s="1950"/>
      <c r="B21" s="2979"/>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14"/>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3" t="s">
        <v>1145</v>
      </c>
      <c r="C1" s="3293"/>
      <c r="D1" s="3293"/>
      <c r="E1" s="3293"/>
      <c r="F1" s="3293"/>
      <c r="G1" s="3292" t="s">
        <v>1146</v>
      </c>
      <c r="H1" s="3292"/>
      <c r="I1" s="3292"/>
      <c r="J1" s="3292"/>
      <c r="K1" s="3292"/>
      <c r="L1" s="3292"/>
      <c r="N1" s="3292" t="s">
        <v>1147</v>
      </c>
      <c r="O1" s="3292"/>
      <c r="P1" s="3292"/>
      <c r="Q1" s="3292"/>
      <c r="R1" s="1446"/>
      <c r="S1" s="3292" t="s">
        <v>1148</v>
      </c>
      <c r="T1" s="3292"/>
      <c r="U1" s="3292"/>
      <c r="V1" s="3292"/>
      <c r="X1" s="3291" t="s">
        <v>1149</v>
      </c>
      <c r="Y1" s="3292"/>
      <c r="Z1" s="3292"/>
      <c r="AA1" s="3292"/>
      <c r="AB1" s="3292"/>
      <c r="AD1" s="3291" t="s">
        <v>1150</v>
      </c>
      <c r="AE1" s="3292"/>
      <c r="AF1" s="3292"/>
      <c r="AG1" s="3292"/>
      <c r="AH1" s="329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3034</v>
      </c>
      <c r="B3" s="2912"/>
      <c r="C3" s="2912"/>
      <c r="D3" s="2913"/>
      <c r="E3" s="2913"/>
      <c r="F3" s="2912"/>
      <c r="G3" s="2914"/>
      <c r="H3" s="2915"/>
      <c r="I3" s="2916">
        <f>ROUND(AVERAGE($I4:$I31),2)</f>
        <v>1.78</v>
      </c>
      <c r="J3" s="2916">
        <f>ROUND(AVERAGE($J4:$J31),2)</f>
        <v>1.23</v>
      </c>
      <c r="K3" s="2916">
        <f>ROUND(AVERAGE($K4:$K31),2)</f>
        <v>1.95</v>
      </c>
      <c r="L3" s="2916">
        <f>ROUND(AVERAGE($L4:$L31),2)</f>
        <v>1.26</v>
      </c>
      <c r="N3" s="2914"/>
      <c r="O3" s="2917"/>
      <c r="P3" s="2917"/>
      <c r="Q3" s="2917"/>
      <c r="R3" s="2917"/>
      <c r="S3" s="2914"/>
      <c r="T3" s="2917"/>
      <c r="U3" s="2917"/>
      <c r="V3" s="2917"/>
      <c r="W3" s="2909"/>
      <c r="X3" s="2918">
        <f>ROUND(SUMPRODUCT(PRODUCT(1+N3:N$30)),4)</f>
        <v>1.5605</v>
      </c>
      <c r="Y3" s="2918">
        <f>ROUND(SUMPRODUCT(PRODUCT(1+O3:O$30)),4)</f>
        <v>1.3577999999999999</v>
      </c>
      <c r="Z3" s="2918">
        <f t="shared" ref="Z3:Z28" si="0">Y3</f>
        <v>1.3577999999999999</v>
      </c>
      <c r="AA3" s="2918">
        <f>ROUND(SUMPRODUCT(PRODUCT(1+P3:P$30)),4)</f>
        <v>1.6254999999999999</v>
      </c>
      <c r="AB3" s="2918">
        <f>ROUND(SUMPRODUCT(PRODUCT(1+Q3:Q$30)),4)</f>
        <v>1.3815999999999999</v>
      </c>
      <c r="AD3" s="2919">
        <f>ROUND(AVERAGE(I3:I$31)/100,4)</f>
        <v>1.78E-2</v>
      </c>
      <c r="AE3" s="2919">
        <f>ROUND(AVERAGE(J3:J$31)/100,4)</f>
        <v>1.23E-2</v>
      </c>
      <c r="AF3" s="2919">
        <f t="shared" ref="AF3:AF29" si="1">AE3</f>
        <v>1.23E-2</v>
      </c>
      <c r="AG3" s="2919">
        <f>ROUND(AVERAGE(K3:K$31)/100,4)</f>
        <v>1.95E-2</v>
      </c>
      <c r="AH3" s="2919">
        <f>ROUND(AVERAGE(L3:L$31)/100,4)</f>
        <v>1.26E-2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3058</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59">
        <v>2020</v>
      </c>
      <c r="H5" s="1730">
        <v>3</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3035</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3057</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9">
        <v>2020</v>
      </c>
      <c r="H6" s="1464">
        <v>2</v>
      </c>
      <c r="I6" s="2947">
        <v>0</v>
      </c>
      <c r="J6" s="2947">
        <v>0</v>
      </c>
      <c r="K6" s="2947">
        <v>0</v>
      </c>
      <c r="L6" s="2948">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3053</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6">
        <v>2020</v>
      </c>
      <c r="H7" s="1464">
        <v>1</v>
      </c>
      <c r="I7" s="2947">
        <v>0.12</v>
      </c>
      <c r="J7" s="2947">
        <v>-0.4</v>
      </c>
      <c r="K7" s="2947">
        <v>0.21</v>
      </c>
      <c r="L7" s="2948">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3052</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5">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3048</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4">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3046</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0">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3044</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4">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3047</v>
      </c>
      <c r="B12" s="2941">
        <f t="shared" ref="B12" si="82">B13*(1+N12)</f>
        <v>464.37293017158942</v>
      </c>
      <c r="C12" s="2941">
        <f t="shared" ref="C12" si="83">C13*(1+O12)</f>
        <v>344.73679941385956</v>
      </c>
      <c r="D12" s="2941">
        <f t="shared" ref="D12" si="84">C12</f>
        <v>344.73679941385956</v>
      </c>
      <c r="E12" s="2941">
        <f t="shared" ref="E12" si="85">E13*(1+P12)</f>
        <v>663.2377795103107</v>
      </c>
      <c r="F12" s="2942">
        <f t="shared" ref="F12" si="86">F13*(1+Q12)</f>
        <v>304.75936311478398</v>
      </c>
      <c r="G12" s="3289">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3041</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289"/>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3040</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289"/>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3033</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298"/>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3030</v>
      </c>
      <c r="B16" s="1469">
        <v>439</v>
      </c>
      <c r="C16" s="1469">
        <v>327</v>
      </c>
      <c r="D16" s="1469">
        <f>C16</f>
        <v>327</v>
      </c>
      <c r="E16" s="1469">
        <v>627</v>
      </c>
      <c r="F16" s="1470">
        <v>283</v>
      </c>
      <c r="G16" s="3294">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3031</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289"/>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289"/>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298"/>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294">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289"/>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289"/>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290"/>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288">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289"/>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289"/>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290"/>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288">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289"/>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289"/>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290"/>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295">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296"/>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296"/>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297"/>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288">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289"/>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289"/>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290"/>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288">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289">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289">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290">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288">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289">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289">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290">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288">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289">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289">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290">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288">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289">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289">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290">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288">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289">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289">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290">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288">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289">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289">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290">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288">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289">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289">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290">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288">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289">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289">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290">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288">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289">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289">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290">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288">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289">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289">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290">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4" sqref="C4"/>
      <selection pane="bottomLeft" activeCell="C4" sqref="C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00" t="s">
        <v>3003</v>
      </c>
      <c r="D1" s="3301"/>
      <c r="E1" s="3301"/>
      <c r="F1" s="3301"/>
      <c r="G1" s="3301"/>
      <c r="H1" s="3301"/>
      <c r="I1" s="3301"/>
      <c r="J1" s="3301"/>
      <c r="K1" s="3301"/>
      <c r="L1" s="3301"/>
      <c r="M1" s="3301"/>
      <c r="N1" s="3301"/>
      <c r="O1" s="3301"/>
      <c r="P1" s="3301"/>
      <c r="Q1" s="3301"/>
      <c r="R1" s="3301"/>
      <c r="S1" s="3302"/>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3012</v>
      </c>
      <c r="B17" s="2902"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4" t="s">
        <v>3016</v>
      </c>
      <c r="E20" s="1785"/>
      <c r="F20" s="1204" t="e">
        <f ca="1">SUMIF(INDIRECT("'"&amp;H20&amp;"'"&amp;"!A:A"),"承租人权益价值",INDIRECT("'"&amp;H20&amp;"'"&amp;"!c:c"))</f>
        <v>#REF!</v>
      </c>
      <c r="G20" s="1204" t="s">
        <v>3017</v>
      </c>
      <c r="H20" s="2905"/>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60" t="s">
        <v>33</v>
      </c>
      <c r="D22" s="3161"/>
      <c r="E22" s="3161"/>
      <c r="F22" s="3161"/>
      <c r="G22" s="3161"/>
      <c r="H22" s="3161"/>
      <c r="I22" s="3161"/>
      <c r="J22" s="3161"/>
      <c r="K22" s="3161"/>
      <c r="L22" s="3161"/>
      <c r="M22" s="3161"/>
      <c r="N22" s="3161"/>
      <c r="O22" s="3161"/>
      <c r="P22" s="3161"/>
      <c r="Q22" s="329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2" t="s">
        <v>3082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3083</v>
      </c>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t="s">
        <v>3084</v>
      </c>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t="s">
        <v>3085</v>
      </c>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30649</v>
      </c>
      <c r="C2" s="2" t="s">
        <v>133</v>
      </c>
      <c r="D2" s="243"/>
      <c r="E2" s="243"/>
      <c r="F2" s="243"/>
      <c r="G2" s="243"/>
    </row>
    <row r="3" spans="1:7" s="244" customFormat="1" ht="18" customHeight="1" thickBot="1">
      <c r="A3" s="247" t="s">
        <v>85</v>
      </c>
      <c r="B3" s="248">
        <f ca="1">ROUND(B2*10000/'数据-汇总表'!E3,0)</f>
        <v>41418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118</v>
      </c>
      <c r="D10" s="1032">
        <f>'数据-汇总表'!E6</f>
        <v>7400</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148</v>
      </c>
      <c r="D19" s="1036">
        <f>'数据-汇总表'!E3</f>
        <v>7400</v>
      </c>
      <c r="E19" s="255">
        <f>'数据-取费表'!B31</f>
        <v>200</v>
      </c>
      <c r="F19" s="275"/>
      <c r="G19" s="1" t="s">
        <v>1070</v>
      </c>
    </row>
    <row r="20" spans="1:7" s="258" customFormat="1" ht="13.5" customHeight="1">
      <c r="A20" s="948" t="s">
        <v>1053</v>
      </c>
      <c r="B20" s="254" t="s">
        <v>104</v>
      </c>
      <c r="C20" s="276">
        <f>ROUND((C5+C19)*F20,0)</f>
        <v>415</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912</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4235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4235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28538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2082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1850</v>
      </c>
      <c r="D34" s="261"/>
      <c r="E34" s="264"/>
      <c r="F34" s="301">
        <f>IF('数据-取费表'!B24=0,1,'数据-取费表'!N16)</f>
        <v>1</v>
      </c>
      <c r="G34" s="263" t="s">
        <v>116</v>
      </c>
    </row>
    <row r="35" spans="1:7" ht="13.5" customHeight="1">
      <c r="A35" s="951" t="s">
        <v>796</v>
      </c>
      <c r="B35" s="259" t="s">
        <v>60</v>
      </c>
      <c r="C35" s="264">
        <f>ROUND(C34*F35,0)</f>
        <v>56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148</v>
      </c>
      <c r="D37" s="261">
        <f>'数据-汇总表'!E3</f>
        <v>7400</v>
      </c>
      <c r="E37" s="293">
        <f>'数据-取费表'!B35</f>
        <v>200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46</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45</v>
      </c>
      <c r="D42" s="282"/>
      <c r="E42" s="282"/>
      <c r="F42" s="283"/>
      <c r="G42" s="3069" t="s">
        <v>121</v>
      </c>
    </row>
    <row r="43" spans="1:7" ht="13.5" customHeight="1">
      <c r="A43" s="951" t="s">
        <v>792</v>
      </c>
      <c r="B43" s="259" t="s">
        <v>1060</v>
      </c>
      <c r="C43" s="282">
        <f ca="1">ROUND(IF('数据-取费表'!B22&lt;=1,C39*F22*'数据-取费表'!B21/2,C39*(POWER((1+F22),'数据-取费表'!B21/2)-1)),0)</f>
        <v>1</v>
      </c>
      <c r="D43" s="282"/>
      <c r="E43" s="282"/>
      <c r="F43" s="283"/>
      <c r="G43" s="3070"/>
    </row>
    <row r="44" spans="1:7" ht="13.5" customHeight="1">
      <c r="A44" s="951" t="s">
        <v>793</v>
      </c>
      <c r="B44" s="259" t="s">
        <v>1062</v>
      </c>
      <c r="C44" s="282">
        <f ca="1">ROUND(IF('数据-取费表'!B22&lt;=1,C40*F22*'数据-取费表'!B21/2,C40*(POWER((1+F22),'数据-取费表'!B21/2)-1)),4)</f>
        <v>4.0000000000000002E-4</v>
      </c>
      <c r="D44" s="282"/>
      <c r="E44" s="282"/>
      <c r="F44" s="283"/>
      <c r="G44" s="3071"/>
    </row>
    <row r="45" spans="1:7" s="258" customFormat="1" ht="13.5" customHeight="1">
      <c r="A45" s="948" t="s">
        <v>786</v>
      </c>
      <c r="B45" s="288" t="s">
        <v>112</v>
      </c>
      <c r="C45" s="289">
        <f>C46</f>
        <v>425</v>
      </c>
      <c r="D45" s="279">
        <f>C47</f>
        <v>4.0000000000000001E-3</v>
      </c>
      <c r="E45" s="280" t="s">
        <v>129</v>
      </c>
      <c r="F45" s="290"/>
      <c r="G45" s="291" t="s">
        <v>1068</v>
      </c>
    </row>
    <row r="46" spans="1:7" s="258" customFormat="1" ht="13.5" customHeight="1">
      <c r="A46" s="951" t="s">
        <v>794</v>
      </c>
      <c r="B46" s="292" t="s">
        <v>1061</v>
      </c>
      <c r="C46" s="293">
        <f>ROUND((C33+C39)*F27,0)</f>
        <v>425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2814</v>
      </c>
      <c r="D49" s="276"/>
      <c r="E49" s="276"/>
      <c r="F49" s="308"/>
      <c r="G49" s="278" t="s">
        <v>1069</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2111</v>
      </c>
      <c r="D51" s="276"/>
      <c r="E51" s="276"/>
      <c r="F51" s="308"/>
      <c r="G51" s="278" t="s">
        <v>64</v>
      </c>
    </row>
    <row r="52" spans="1:7" s="252" customFormat="1" ht="16.5" thickBot="1">
      <c r="A52" s="309" t="s">
        <v>65</v>
      </c>
      <c r="B52" s="310"/>
      <c r="C52" s="311">
        <f ca="1">C31+C51</f>
        <v>30649</v>
      </c>
      <c r="D52" s="310"/>
      <c r="E52" s="310"/>
      <c r="F52" s="310"/>
      <c r="G52" s="312"/>
    </row>
    <row r="55" spans="1:7" ht="15">
      <c r="B55" s="314" t="s">
        <v>66</v>
      </c>
      <c r="C55" s="315"/>
    </row>
    <row r="56" spans="1:7">
      <c r="B56" s="317" t="s">
        <v>67</v>
      </c>
      <c r="C56" s="318">
        <f ca="1">ROUND(C51/C52,3)</f>
        <v>6.9000000000000006E-2</v>
      </c>
    </row>
    <row r="57" spans="1:7">
      <c r="B57" s="317" t="s">
        <v>68</v>
      </c>
      <c r="C57" s="319">
        <f ca="1">1-C56</f>
        <v>0.93100000000000005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867</v>
      </c>
      <c r="B1" s="330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44019</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
  <sheetViews>
    <sheetView topLeftCell="A31" workbookViewId="0">
      <selection activeCell="A25" sqref="A25"/>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96" t="str">
        <f>IF(项目基本情况!B9="房地产市场价值","估价结果一览表","结果表-2")</f>
        <v>估价结果一览表</v>
      </c>
      <c r="B1" s="2996"/>
      <c r="C1" s="2996"/>
      <c r="D1" s="2996"/>
      <c r="E1" s="2996"/>
      <c r="F1" s="2996"/>
      <c r="G1" s="2996"/>
      <c r="H1" s="2996"/>
      <c r="I1" s="2996"/>
    </row>
    <row r="2" spans="1:9" ht="30" customHeight="1" thickTop="1">
      <c r="A2" s="2997" t="s">
        <v>1635</v>
      </c>
      <c r="B2" s="2997" t="s">
        <v>1636</v>
      </c>
      <c r="C2" s="2997" t="s">
        <v>1637</v>
      </c>
      <c r="D2" s="2997" t="str">
        <f>结果表!D116</f>
        <v>出让国有建设用地使用权价值</v>
      </c>
      <c r="E2" s="2997"/>
      <c r="F2" s="2997" t="str">
        <f>结果表!F116</f>
        <v>在建建筑物价值</v>
      </c>
      <c r="G2" s="2997"/>
      <c r="H2" s="2997" t="str">
        <f>IF(项目基本情况!B9="房地产市场价值","房地产市场价值","房地产价值")</f>
        <v>房地产市场价值</v>
      </c>
      <c r="I2" s="2997"/>
    </row>
    <row r="3" spans="1:9" ht="15">
      <c r="A3" s="2991"/>
      <c r="B3" s="2991"/>
      <c r="C3" s="2991"/>
      <c r="D3" s="1044" t="s">
        <v>1632</v>
      </c>
      <c r="E3" s="1044" t="s">
        <v>1638</v>
      </c>
      <c r="F3" s="1044" t="s">
        <v>1632</v>
      </c>
      <c r="G3" s="1044" t="s">
        <v>1633</v>
      </c>
      <c r="H3" s="1044" t="s">
        <v>1632</v>
      </c>
      <c r="I3" s="1044" t="s">
        <v>1633</v>
      </c>
    </row>
    <row r="4" spans="1:9" ht="30">
      <c r="A4" s="1964" t="str">
        <f>项目基本情况!S2</f>
        <v>北京市出让国有建设用地使用权及在建建筑物房地产</v>
      </c>
      <c r="B4" s="1044">
        <f>项目基本情况!C17</f>
        <v>7400</v>
      </c>
      <c r="C4" s="1044">
        <f>项目基本情况!C18</f>
        <v>0</v>
      </c>
      <c r="D4" s="1044" t="e">
        <f ca="1">结果表!D118</f>
        <v>#REF!</v>
      </c>
      <c r="E4" s="1044" t="e">
        <f ca="1">结果表!E118</f>
        <v>#REF!</v>
      </c>
      <c r="F4" s="1044" t="e">
        <f ca="1">结果表!F118</f>
        <v>#REF!</v>
      </c>
      <c r="G4" s="1044" t="e">
        <f ca="1">结果表!G118</f>
        <v>#REF!</v>
      </c>
      <c r="H4" s="1044">
        <f ca="1">结果表!H118</f>
        <v>31500</v>
      </c>
      <c r="I4" s="1044">
        <f ca="1">结果表!I118</f>
        <v>42568</v>
      </c>
    </row>
    <row r="5" spans="1:9" ht="30" customHeight="1">
      <c r="A5" s="2991" t="s">
        <v>1634</v>
      </c>
      <c r="B5" s="2991"/>
      <c r="C5" s="2991"/>
      <c r="D5" s="2992" t="e">
        <f ca="1">结果表!D119</f>
        <v>#REF!</v>
      </c>
      <c r="E5" s="2992"/>
      <c r="F5" s="2992" t="e">
        <f ca="1">结果表!F119</f>
        <v>#REF!</v>
      </c>
      <c r="G5" s="2992"/>
      <c r="H5" s="2992" t="str">
        <f ca="1">结果表!H119</f>
        <v>叁亿壹仟伍佰万元整</v>
      </c>
      <c r="I5" s="2992"/>
    </row>
    <row r="6" spans="1:9" ht="15.75">
      <c r="A6" s="2990" t="str">
        <f>结果表!A120</f>
        <v/>
      </c>
      <c r="B6" s="2990"/>
      <c r="C6" s="2990"/>
      <c r="D6" s="2990">
        <f>结果表!D120</f>
        <v>0</v>
      </c>
      <c r="E6" s="2990"/>
      <c r="F6" s="2990"/>
      <c r="G6" s="2990"/>
      <c r="H6" s="2990"/>
      <c r="I6" s="2990"/>
    </row>
    <row r="7" spans="1:9" ht="15">
      <c r="A7" s="2991" t="s">
        <v>1634</v>
      </c>
      <c r="B7" s="2991"/>
      <c r="C7" s="2991"/>
      <c r="D7" s="2993" t="str">
        <f>结果表!D121</f>
        <v>零元整</v>
      </c>
      <c r="E7" s="2994"/>
      <c r="F7" s="2994"/>
      <c r="G7" s="2994"/>
      <c r="H7" s="2994"/>
      <c r="I7" s="2995"/>
    </row>
    <row r="8" spans="1:9" ht="15.75">
      <c r="A8" s="2990" t="str">
        <f>结果表!A122</f>
        <v/>
      </c>
      <c r="B8" s="2990"/>
      <c r="C8" s="2990"/>
      <c r="D8" s="2990">
        <f ca="1">结果表!D122</f>
        <v>31500</v>
      </c>
      <c r="E8" s="2990"/>
      <c r="F8" s="2990"/>
      <c r="G8" s="2990"/>
      <c r="H8" s="2990"/>
      <c r="I8" s="2990"/>
    </row>
    <row r="9" spans="1:9" ht="15">
      <c r="A9" s="2991" t="s">
        <v>1634</v>
      </c>
      <c r="B9" s="2991"/>
      <c r="C9" s="2991"/>
      <c r="D9" s="2992" t="str">
        <f ca="1">结果表!D123</f>
        <v>叁亿壹仟伍佰万元整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1634</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1634</v>
      </c>
      <c r="B13" s="2987"/>
      <c r="C13" s="2987"/>
      <c r="D13" s="2988" t="e">
        <f>结果表!D127</f>
        <v>#VALUE!</v>
      </c>
      <c r="E13" s="2988"/>
      <c r="F13" s="2988"/>
      <c r="G13" s="2988"/>
      <c r="H13" s="2988"/>
      <c r="I13" s="2988"/>
    </row>
    <row r="14" spans="1:9" ht="15" thickTop="1">
      <c r="A14" s="2989" t="s">
        <v>1639</v>
      </c>
      <c r="B14" s="2989"/>
      <c r="C14" s="2989"/>
      <c r="D14" s="2989"/>
      <c r="E14" s="2989"/>
      <c r="F14" s="2989"/>
      <c r="G14" s="2989"/>
      <c r="H14" s="2989"/>
      <c r="I14" s="2989"/>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04" t="s">
        <v>1656</v>
      </c>
      <c r="B1" s="3004"/>
      <c r="C1" s="3004"/>
      <c r="D1" s="3004"/>
    </row>
    <row r="2" spans="1:4" ht="18">
      <c r="A2" s="3005" t="s">
        <v>1640</v>
      </c>
      <c r="B2" s="3005"/>
      <c r="C2" s="3005"/>
      <c r="D2" s="3005"/>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005" t="s">
        <v>1646</v>
      </c>
      <c r="B6" s="3005"/>
      <c r="C6" s="3005"/>
      <c r="D6" s="3005"/>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06" t="s">
        <v>1649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3"/>
      <c r="C12" s="3003"/>
      <c r="D12" s="3003"/>
    </row>
    <row r="13" spans="1:4" ht="30" customHeight="1">
      <c r="A13" s="2998" t="str">
        <f>IF(项目基本情况!B8="抵押","3.抵押双方在办理抵押登记手续时，应使用本公司出具的正式《房地产评估报告》，特提醒报告使用者注意。","——")</f>
        <v>——</v>
      </c>
      <c r="B13" s="3003"/>
      <c r="C13" s="3003"/>
      <c r="D13" s="3003"/>
    </row>
    <row r="14" spans="1:4" ht="15.75" customHeight="1">
      <c r="A14" s="2998" t="str">
        <f>IF(项目基本情况!B8="抵押","4.本次评估估价师所知悉的法定优先受偿款情况说明如下：","——")</f>
        <v>——</v>
      </c>
      <c r="B14" s="3003"/>
      <c r="C14" s="3003"/>
      <c r="D14" s="3003"/>
    </row>
    <row r="15" spans="1:4" ht="42" customHeight="1">
      <c r="A15" s="2998" t="str">
        <f>IF(项目基本情况!B8="抵押","（1）"&amp;CONCATENATE(项目基本情况!L20,项目基本情况!L21,项目基本情况!L22),"——")</f>
        <v>——</v>
      </c>
      <c r="B15" s="2998"/>
      <c r="C15" s="2998"/>
      <c r="D15" s="2998"/>
    </row>
    <row r="16" spans="1:4" ht="30" customHeight="1">
      <c r="A16" s="3000" t="s">
        <v>1650</v>
      </c>
      <c r="B16" s="3000"/>
      <c r="C16" s="3000"/>
      <c r="D16" s="3000"/>
    </row>
    <row r="17" spans="1:4" ht="144" customHeight="1">
      <c r="A17" s="3000" t="s">
        <v>1651</v>
      </c>
      <c r="B17" s="3000"/>
      <c r="C17" s="3000"/>
      <c r="D17" s="3000"/>
    </row>
    <row r="18" spans="1:4" ht="15.75" customHeight="1">
      <c r="A18" s="2998" t="str">
        <f>IF(项目基本情况!B8="抵押",结果表!K120,"——")</f>
        <v>——</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1652</v>
      </c>
      <c r="B22" s="3002"/>
      <c r="C22" s="3002"/>
      <c r="D22" s="3002"/>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12" t="s">
        <v>1663</v>
      </c>
      <c r="B15" s="3007" t="s">
        <v>136</v>
      </c>
      <c r="C15" s="3008"/>
    </row>
    <row r="16" spans="1:7" ht="13.5">
      <c r="A16" s="3013"/>
      <c r="B16" s="3007" t="s">
        <v>69</v>
      </c>
      <c r="C16" s="3008"/>
    </row>
    <row r="17" spans="1:3" ht="13.5">
      <c r="A17" s="3013"/>
      <c r="B17" s="3010" t="s">
        <v>1664</v>
      </c>
      <c r="C17" s="1991" t="s">
        <v>1663</v>
      </c>
    </row>
    <row r="18" spans="1:3" ht="13.5">
      <c r="A18" s="3013"/>
      <c r="B18" s="3010"/>
      <c r="C18" s="1991" t="s">
        <v>1665</v>
      </c>
    </row>
    <row r="19" spans="1:3" ht="13.5">
      <c r="A19" s="3013"/>
      <c r="B19" s="3010"/>
      <c r="C19" s="1991" t="s">
        <v>1666</v>
      </c>
    </row>
    <row r="20" spans="1:3" ht="13.5">
      <c r="A20" s="3014"/>
      <c r="B20" s="3009" t="s">
        <v>1667</v>
      </c>
      <c r="C20" s="3008"/>
    </row>
    <row r="21" spans="1:3" ht="13.5">
      <c r="A21" s="1992" t="s">
        <v>1668</v>
      </c>
      <c r="B21" s="1993"/>
      <c r="C21" s="1994"/>
    </row>
    <row r="22" spans="1:3" ht="13.5">
      <c r="A22" s="3011" t="s">
        <v>1669</v>
      </c>
      <c r="B22" s="3009" t="s">
        <v>1670</v>
      </c>
      <c r="C22" s="3008"/>
    </row>
    <row r="23" spans="1:3" ht="13.5">
      <c r="A23" s="3011"/>
      <c r="B23" s="3009" t="s">
        <v>1671</v>
      </c>
      <c r="C23" s="3008"/>
    </row>
    <row r="24" spans="1:3" ht="13.5">
      <c r="A24" s="3011"/>
      <c r="B24" s="3009" t="s">
        <v>1672</v>
      </c>
      <c r="C24" s="3008"/>
    </row>
    <row r="25" spans="1:3" ht="13.5">
      <c r="A25" s="3011"/>
      <c r="B25" s="3010" t="s">
        <v>1673</v>
      </c>
      <c r="C25" s="1991" t="s">
        <v>1674</v>
      </c>
    </row>
    <row r="26" spans="1:3" ht="13.5">
      <c r="A26" s="3011"/>
      <c r="B26" s="3010"/>
      <c r="C26" s="1991" t="s">
        <v>1675</v>
      </c>
    </row>
    <row r="27" spans="1:3" ht="13.5">
      <c r="A27" s="3011"/>
      <c r="B27" s="3010"/>
      <c r="C27" s="1991" t="s">
        <v>1676</v>
      </c>
    </row>
    <row r="28" spans="1:3" ht="13.5">
      <c r="A28" s="3011"/>
      <c r="B28" s="3010"/>
      <c r="C28" s="1991" t="s">
        <v>1677</v>
      </c>
    </row>
    <row r="29" spans="1:3" ht="13.5">
      <c r="A29" s="3011"/>
      <c r="B29" s="3010"/>
      <c r="C29" s="1991" t="s">
        <v>1678</v>
      </c>
    </row>
    <row r="30" spans="1:3" ht="13.5">
      <c r="A30" s="3011"/>
      <c r="B30" s="3010"/>
      <c r="C30" s="1991" t="s">
        <v>1679</v>
      </c>
    </row>
    <row r="31" spans="1:3" ht="13.5">
      <c r="A31" s="3011"/>
      <c r="B31" s="3010"/>
      <c r="C31" s="1991" t="s">
        <v>1680</v>
      </c>
    </row>
    <row r="32" spans="1:3" ht="13.5">
      <c r="A32" s="3011"/>
      <c r="B32" s="3010"/>
      <c r="C32" s="1991" t="s">
        <v>1681</v>
      </c>
    </row>
    <row r="33" spans="1:3" ht="13.5">
      <c r="A33" s="3011"/>
      <c r="B33" s="3010"/>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44019</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3042</v>
      </c>
      <c r="B14" s="1022">
        <f ca="1">IF(C14&lt;B2,"已过期",1120040230)</f>
        <v>1120040230</v>
      </c>
      <c r="C14" s="2339">
        <v>44864</v>
      </c>
      <c r="D14" s="2342" t="s">
        <v>3042</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3049</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3051</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15" t="s">
        <v>842</v>
      </c>
      <c r="B25" s="3015"/>
      <c r="C25" s="3015"/>
      <c r="D25" s="3015"/>
      <c r="E25" s="3015"/>
      <c r="F25" s="3015"/>
      <c r="G25" s="3015"/>
    </row>
    <row r="26" spans="1:7" s="1025" customFormat="1" ht="24" customHeight="1">
      <c r="A26" s="3016" t="s">
        <v>843</v>
      </c>
      <c r="B26" s="3016"/>
      <c r="C26" s="3017"/>
      <c r="D26" s="3018" t="s">
        <v>844</v>
      </c>
      <c r="E26" s="3016"/>
      <c r="F26" s="3016"/>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基准地价修正（1层+地下1层）</vt:lpstr>
      <vt:lpstr>修正</vt:lpstr>
      <vt:lpstr>容积率修正</vt:lpstr>
      <vt:lpstr>基准地价修正 (2层)</vt:lpstr>
      <vt:lpstr>基准地价修正 (3层) </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(2层)'!季度</vt:lpstr>
      <vt:lpstr>'基准地价修正 (3层) '!季度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2017-03-01T09:15:43Z</cp:lastPrinted>
  <dcterms:created xsi:type="dcterms:W3CDTF">2015-07-13T07:17:23Z</dcterms:created>
  <dcterms:modified xsi:type="dcterms:W3CDTF">2020-07-07T07:22:09Z</dcterms:modified>
</cp:coreProperties>
</file>